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Simon\Downloads\"/>
    </mc:Choice>
  </mc:AlternateContent>
  <xr:revisionPtr revIDLastSave="0" documentId="13_ncr:1_{D1B2406A-98C9-4C26-ACA9-6C6217A7C3BE}" xr6:coauthVersionLast="47" xr6:coauthVersionMax="47" xr10:uidLastSave="{00000000-0000-0000-0000-000000000000}"/>
  <bookViews>
    <workbookView xWindow="-21720" yWindow="-120" windowWidth="21840" windowHeight="13140" firstSheet="1" activeTab="4" xr2:uid="{00000000-000D-0000-FFFF-FFFF00000000}"/>
  </bookViews>
  <sheets>
    <sheet name="Masters Men" sheetId="7" r:id="rId1"/>
    <sheet name="U13 Girls &amp; Boys" sheetId="8" r:id="rId2"/>
    <sheet name="Women (including Masters women)" sheetId="9" r:id="rId3"/>
    <sheet name="U15 &amp; U17 Girls &amp; Boys" sheetId="10" r:id="rId4"/>
    <sheet name="Malcolm Cup" sheetId="11" r:id="rId5"/>
    <sheet name="Results Lists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02" i="6" l="1"/>
  <c r="W202" i="6"/>
  <c r="V202" i="6"/>
  <c r="U202" i="6"/>
  <c r="N202" i="6"/>
  <c r="M202" i="6"/>
  <c r="L202" i="6"/>
  <c r="K202" i="6"/>
  <c r="X201" i="6"/>
  <c r="W201" i="6"/>
  <c r="V201" i="6"/>
  <c r="U201" i="6"/>
  <c r="N201" i="6"/>
  <c r="M201" i="6"/>
  <c r="L201" i="6"/>
  <c r="K201" i="6"/>
  <c r="X200" i="6"/>
  <c r="W200" i="6"/>
  <c r="V200" i="6"/>
  <c r="U200" i="6"/>
  <c r="N200" i="6"/>
  <c r="M200" i="6"/>
  <c r="L200" i="6"/>
  <c r="K200" i="6"/>
  <c r="X199" i="6"/>
  <c r="W199" i="6"/>
  <c r="V199" i="6"/>
  <c r="U199" i="6"/>
  <c r="N199" i="6"/>
  <c r="M199" i="6"/>
  <c r="L199" i="6"/>
  <c r="K199" i="6"/>
  <c r="X198" i="6"/>
  <c r="W198" i="6"/>
  <c r="V198" i="6"/>
  <c r="U198" i="6"/>
  <c r="N198" i="6"/>
  <c r="M198" i="6"/>
  <c r="L198" i="6"/>
  <c r="K198" i="6"/>
  <c r="X197" i="6"/>
  <c r="W197" i="6"/>
  <c r="V197" i="6"/>
  <c r="U197" i="6"/>
  <c r="N197" i="6"/>
  <c r="M197" i="6"/>
  <c r="L197" i="6"/>
  <c r="K197" i="6"/>
  <c r="X196" i="6"/>
  <c r="W196" i="6"/>
  <c r="V196" i="6"/>
  <c r="U196" i="6"/>
  <c r="N196" i="6"/>
  <c r="M196" i="6"/>
  <c r="L196" i="6"/>
  <c r="K196" i="6"/>
  <c r="X195" i="6"/>
  <c r="W195" i="6"/>
  <c r="V195" i="6"/>
  <c r="U195" i="6"/>
  <c r="N195" i="6"/>
  <c r="M195" i="6"/>
  <c r="L195" i="6"/>
  <c r="K195" i="6"/>
  <c r="X194" i="6"/>
  <c r="W194" i="6"/>
  <c r="V194" i="6"/>
  <c r="U194" i="6"/>
  <c r="N194" i="6"/>
  <c r="M194" i="6"/>
  <c r="L194" i="6"/>
  <c r="K194" i="6"/>
  <c r="X193" i="6"/>
  <c r="W193" i="6"/>
  <c r="V193" i="6"/>
  <c r="U193" i="6"/>
  <c r="N193" i="6"/>
  <c r="M193" i="6"/>
  <c r="L193" i="6"/>
  <c r="K193" i="6"/>
  <c r="X192" i="6"/>
  <c r="W192" i="6"/>
  <c r="V192" i="6"/>
  <c r="U192" i="6"/>
  <c r="N192" i="6"/>
  <c r="M192" i="6"/>
  <c r="L192" i="6"/>
  <c r="K192" i="6"/>
  <c r="X191" i="6"/>
  <c r="W191" i="6"/>
  <c r="V191" i="6"/>
  <c r="U191" i="6"/>
  <c r="N191" i="6"/>
  <c r="M191" i="6"/>
  <c r="L191" i="6"/>
  <c r="K191" i="6"/>
  <c r="X190" i="6"/>
  <c r="W190" i="6"/>
  <c r="V190" i="6"/>
  <c r="U190" i="6"/>
  <c r="N190" i="6"/>
  <c r="M190" i="6"/>
  <c r="L190" i="6"/>
  <c r="K190" i="6"/>
  <c r="X189" i="6"/>
  <c r="W189" i="6"/>
  <c r="V189" i="6"/>
  <c r="U189" i="6"/>
  <c r="N189" i="6"/>
  <c r="M189" i="6"/>
  <c r="L189" i="6"/>
  <c r="K189" i="6"/>
  <c r="X188" i="6"/>
  <c r="W188" i="6"/>
  <c r="V188" i="6"/>
  <c r="U188" i="6"/>
  <c r="N188" i="6"/>
  <c r="M188" i="6"/>
  <c r="L188" i="6"/>
  <c r="K188" i="6"/>
  <c r="X187" i="6"/>
  <c r="W187" i="6"/>
  <c r="V187" i="6"/>
  <c r="U187" i="6"/>
  <c r="N187" i="6"/>
  <c r="M187" i="6"/>
  <c r="L187" i="6"/>
  <c r="K187" i="6"/>
  <c r="X186" i="6"/>
  <c r="W186" i="6"/>
  <c r="V186" i="6"/>
  <c r="U186" i="6"/>
  <c r="N186" i="6"/>
  <c r="M186" i="6"/>
  <c r="L186" i="6"/>
  <c r="K186" i="6"/>
  <c r="X185" i="6"/>
  <c r="W185" i="6"/>
  <c r="V185" i="6"/>
  <c r="U185" i="6"/>
  <c r="N185" i="6"/>
  <c r="M185" i="6"/>
  <c r="L185" i="6"/>
  <c r="K185" i="6"/>
  <c r="X184" i="6"/>
  <c r="W184" i="6"/>
  <c r="V184" i="6"/>
  <c r="U184" i="6"/>
  <c r="N184" i="6"/>
  <c r="M184" i="6"/>
  <c r="L184" i="6"/>
  <c r="K184" i="6"/>
  <c r="X183" i="6"/>
  <c r="W183" i="6"/>
  <c r="V183" i="6"/>
  <c r="U183" i="6"/>
  <c r="N183" i="6"/>
  <c r="M183" i="6"/>
  <c r="L183" i="6"/>
  <c r="K183" i="6"/>
  <c r="X182" i="6"/>
  <c r="W182" i="6"/>
  <c r="V182" i="6"/>
  <c r="U182" i="6"/>
  <c r="N182" i="6"/>
  <c r="M182" i="6"/>
  <c r="L182" i="6"/>
  <c r="K182" i="6"/>
  <c r="X181" i="6"/>
  <c r="W181" i="6"/>
  <c r="V181" i="6"/>
  <c r="U181" i="6"/>
  <c r="N181" i="6"/>
  <c r="M181" i="6"/>
  <c r="L181" i="6"/>
  <c r="K181" i="6"/>
  <c r="X180" i="6"/>
  <c r="W180" i="6"/>
  <c r="V180" i="6"/>
  <c r="U180" i="6"/>
  <c r="N180" i="6"/>
  <c r="M180" i="6"/>
  <c r="L180" i="6"/>
  <c r="K180" i="6"/>
  <c r="X179" i="6"/>
  <c r="W179" i="6"/>
  <c r="V179" i="6"/>
  <c r="U179" i="6"/>
  <c r="N179" i="6"/>
  <c r="M179" i="6"/>
  <c r="L179" i="6"/>
  <c r="K179" i="6"/>
  <c r="X178" i="6"/>
  <c r="W178" i="6"/>
  <c r="V178" i="6"/>
  <c r="U178" i="6"/>
  <c r="N178" i="6"/>
  <c r="M178" i="6"/>
  <c r="L178" i="6"/>
  <c r="K178" i="6"/>
  <c r="X177" i="6"/>
  <c r="W177" i="6"/>
  <c r="V177" i="6"/>
  <c r="U177" i="6"/>
  <c r="N177" i="6"/>
  <c r="M177" i="6"/>
  <c r="L177" i="6"/>
  <c r="K177" i="6"/>
  <c r="X176" i="6"/>
  <c r="W176" i="6"/>
  <c r="V176" i="6"/>
  <c r="U176" i="6"/>
  <c r="N176" i="6"/>
  <c r="M176" i="6"/>
  <c r="L176" i="6"/>
  <c r="K176" i="6"/>
  <c r="X175" i="6"/>
  <c r="W175" i="6"/>
  <c r="V175" i="6"/>
  <c r="U175" i="6"/>
  <c r="N175" i="6"/>
  <c r="M175" i="6"/>
  <c r="L175" i="6"/>
  <c r="K175" i="6"/>
  <c r="F175" i="6"/>
  <c r="X174" i="6"/>
  <c r="W174" i="6"/>
  <c r="V174" i="6"/>
  <c r="U174" i="6"/>
  <c r="N174" i="6"/>
  <c r="M174" i="6"/>
  <c r="L174" i="6"/>
  <c r="K174" i="6"/>
  <c r="F174" i="6"/>
  <c r="X173" i="6"/>
  <c r="W173" i="6"/>
  <c r="V173" i="6"/>
  <c r="U173" i="6"/>
  <c r="N173" i="6"/>
  <c r="M173" i="6"/>
  <c r="L173" i="6"/>
  <c r="K173" i="6"/>
  <c r="F173" i="6"/>
  <c r="X172" i="6"/>
  <c r="W172" i="6"/>
  <c r="V172" i="6"/>
  <c r="U172" i="6"/>
  <c r="N172" i="6"/>
  <c r="M172" i="6"/>
  <c r="L172" i="6"/>
  <c r="K172" i="6"/>
  <c r="F172" i="6"/>
  <c r="X171" i="6"/>
  <c r="W171" i="6"/>
  <c r="V171" i="6"/>
  <c r="U171" i="6"/>
  <c r="N171" i="6"/>
  <c r="M171" i="6"/>
  <c r="L171" i="6"/>
  <c r="K171" i="6"/>
  <c r="F171" i="6"/>
  <c r="X170" i="6"/>
  <c r="W170" i="6"/>
  <c r="V170" i="6"/>
  <c r="U170" i="6"/>
  <c r="N170" i="6"/>
  <c r="M170" i="6"/>
  <c r="L170" i="6"/>
  <c r="K170" i="6"/>
  <c r="F170" i="6"/>
  <c r="X169" i="6"/>
  <c r="W169" i="6"/>
  <c r="V169" i="6"/>
  <c r="U169" i="6"/>
  <c r="N169" i="6"/>
  <c r="M169" i="6"/>
  <c r="L169" i="6"/>
  <c r="K169" i="6"/>
  <c r="F169" i="6"/>
  <c r="X168" i="6"/>
  <c r="W168" i="6"/>
  <c r="V168" i="6"/>
  <c r="U168" i="6"/>
  <c r="N168" i="6"/>
  <c r="M168" i="6"/>
  <c r="L168" i="6"/>
  <c r="K168" i="6"/>
  <c r="F168" i="6"/>
  <c r="X167" i="6"/>
  <c r="W167" i="6"/>
  <c r="V167" i="6"/>
  <c r="U167" i="6"/>
  <c r="N167" i="6"/>
  <c r="M167" i="6"/>
  <c r="L167" i="6"/>
  <c r="K167" i="6"/>
  <c r="F167" i="6"/>
  <c r="X166" i="6"/>
  <c r="W166" i="6"/>
  <c r="V166" i="6"/>
  <c r="U166" i="6"/>
  <c r="N166" i="6"/>
  <c r="M166" i="6"/>
  <c r="L166" i="6"/>
  <c r="K166" i="6"/>
  <c r="F166" i="6"/>
  <c r="X165" i="6"/>
  <c r="W165" i="6"/>
  <c r="V165" i="6"/>
  <c r="U165" i="6"/>
  <c r="N165" i="6"/>
  <c r="M165" i="6"/>
  <c r="L165" i="6"/>
  <c r="K165" i="6"/>
  <c r="F165" i="6"/>
  <c r="X164" i="6"/>
  <c r="W164" i="6"/>
  <c r="V164" i="6"/>
  <c r="U164" i="6"/>
  <c r="N164" i="6"/>
  <c r="M164" i="6"/>
  <c r="L164" i="6"/>
  <c r="K164" i="6"/>
  <c r="F164" i="6"/>
  <c r="X163" i="6"/>
  <c r="W163" i="6"/>
  <c r="V163" i="6"/>
  <c r="U163" i="6"/>
  <c r="N163" i="6"/>
  <c r="M163" i="6"/>
  <c r="L163" i="6"/>
  <c r="K163" i="6"/>
  <c r="F163" i="6"/>
  <c r="X162" i="6"/>
  <c r="W162" i="6"/>
  <c r="V162" i="6"/>
  <c r="U162" i="6"/>
  <c r="N162" i="6"/>
  <c r="M162" i="6"/>
  <c r="L162" i="6"/>
  <c r="K162" i="6"/>
  <c r="F162" i="6"/>
  <c r="X161" i="6"/>
  <c r="W161" i="6"/>
  <c r="V161" i="6"/>
  <c r="U161" i="6"/>
  <c r="N161" i="6"/>
  <c r="M161" i="6"/>
  <c r="L161" i="6"/>
  <c r="K161" i="6"/>
  <c r="F161" i="6"/>
  <c r="X160" i="6"/>
  <c r="W160" i="6"/>
  <c r="V160" i="6"/>
  <c r="U160" i="6"/>
  <c r="N160" i="6"/>
  <c r="M160" i="6"/>
  <c r="L160" i="6"/>
  <c r="K160" i="6"/>
  <c r="F160" i="6"/>
  <c r="X159" i="6"/>
  <c r="W159" i="6"/>
  <c r="V159" i="6"/>
  <c r="U159" i="6"/>
  <c r="N159" i="6"/>
  <c r="M159" i="6"/>
  <c r="L159" i="6"/>
  <c r="K159" i="6"/>
  <c r="F159" i="6"/>
  <c r="X158" i="6"/>
  <c r="W158" i="6"/>
  <c r="V158" i="6"/>
  <c r="U158" i="6"/>
  <c r="N158" i="6"/>
  <c r="M158" i="6"/>
  <c r="L158" i="6"/>
  <c r="K158" i="6"/>
  <c r="F158" i="6"/>
  <c r="X157" i="6"/>
  <c r="W157" i="6"/>
  <c r="V157" i="6"/>
  <c r="U157" i="6"/>
  <c r="N157" i="6"/>
  <c r="M157" i="6"/>
  <c r="L157" i="6"/>
  <c r="K157" i="6"/>
  <c r="F157" i="6"/>
  <c r="X156" i="6"/>
  <c r="W156" i="6"/>
  <c r="V156" i="6"/>
  <c r="U156" i="6"/>
  <c r="N156" i="6"/>
  <c r="M156" i="6"/>
  <c r="L156" i="6"/>
  <c r="K156" i="6"/>
  <c r="F156" i="6"/>
  <c r="X155" i="6"/>
  <c r="W155" i="6"/>
  <c r="V155" i="6"/>
  <c r="U155" i="6"/>
  <c r="N155" i="6"/>
  <c r="M155" i="6"/>
  <c r="L155" i="6"/>
  <c r="K155" i="6"/>
  <c r="F155" i="6"/>
  <c r="X154" i="6"/>
  <c r="W154" i="6"/>
  <c r="V154" i="6"/>
  <c r="U154" i="6"/>
  <c r="N154" i="6"/>
  <c r="M154" i="6"/>
  <c r="L154" i="6"/>
  <c r="K154" i="6"/>
  <c r="F154" i="6"/>
  <c r="X153" i="6"/>
  <c r="W153" i="6"/>
  <c r="V153" i="6"/>
  <c r="U153" i="6"/>
  <c r="N153" i="6"/>
  <c r="M153" i="6"/>
  <c r="L153" i="6"/>
  <c r="K153" i="6"/>
  <c r="F153" i="6"/>
  <c r="X152" i="6"/>
  <c r="W152" i="6"/>
  <c r="V152" i="6"/>
  <c r="U152" i="6"/>
  <c r="N152" i="6"/>
  <c r="M152" i="6"/>
  <c r="L152" i="6"/>
  <c r="K152" i="6"/>
  <c r="F152" i="6"/>
  <c r="X151" i="6"/>
  <c r="W151" i="6"/>
  <c r="V151" i="6"/>
  <c r="U151" i="6"/>
  <c r="N151" i="6"/>
  <c r="M151" i="6"/>
  <c r="L151" i="6"/>
  <c r="K151" i="6"/>
  <c r="F151" i="6"/>
  <c r="X150" i="6"/>
  <c r="W150" i="6"/>
  <c r="V150" i="6"/>
  <c r="U150" i="6"/>
  <c r="N150" i="6"/>
  <c r="M150" i="6"/>
  <c r="L150" i="6"/>
  <c r="K150" i="6"/>
  <c r="F150" i="6"/>
  <c r="X149" i="6"/>
  <c r="W149" i="6"/>
  <c r="V149" i="6"/>
  <c r="U149" i="6"/>
  <c r="N149" i="6"/>
  <c r="M149" i="6"/>
  <c r="L149" i="6"/>
  <c r="K149" i="6"/>
  <c r="F149" i="6"/>
  <c r="X148" i="6"/>
  <c r="W148" i="6"/>
  <c r="V148" i="6"/>
  <c r="U148" i="6"/>
  <c r="N148" i="6"/>
  <c r="M148" i="6"/>
  <c r="L148" i="6"/>
  <c r="K148" i="6"/>
  <c r="F148" i="6"/>
  <c r="X147" i="6"/>
  <c r="W147" i="6"/>
  <c r="V147" i="6"/>
  <c r="U147" i="6"/>
  <c r="N147" i="6"/>
  <c r="M147" i="6"/>
  <c r="L147" i="6"/>
  <c r="K147" i="6"/>
  <c r="F147" i="6"/>
  <c r="X146" i="6"/>
  <c r="W146" i="6"/>
  <c r="V146" i="6"/>
  <c r="U146" i="6"/>
  <c r="N146" i="6"/>
  <c r="M146" i="6"/>
  <c r="L146" i="6"/>
  <c r="K146" i="6"/>
  <c r="F146" i="6"/>
  <c r="X145" i="6"/>
  <c r="W145" i="6"/>
  <c r="V145" i="6"/>
  <c r="U145" i="6"/>
  <c r="N145" i="6"/>
  <c r="M145" i="6"/>
  <c r="L145" i="6"/>
  <c r="K145" i="6"/>
  <c r="F145" i="6"/>
  <c r="X144" i="6"/>
  <c r="W144" i="6"/>
  <c r="V144" i="6"/>
  <c r="U144" i="6"/>
  <c r="N144" i="6"/>
  <c r="M144" i="6"/>
  <c r="L144" i="6"/>
  <c r="K144" i="6"/>
  <c r="F144" i="6"/>
  <c r="X143" i="6"/>
  <c r="W143" i="6"/>
  <c r="V143" i="6"/>
  <c r="U143" i="6"/>
  <c r="N143" i="6"/>
  <c r="M143" i="6"/>
  <c r="L143" i="6"/>
  <c r="K143" i="6"/>
  <c r="F143" i="6"/>
  <c r="X142" i="6"/>
  <c r="W142" i="6"/>
  <c r="V142" i="6"/>
  <c r="U142" i="6"/>
  <c r="N142" i="6"/>
  <c r="M142" i="6"/>
  <c r="L142" i="6"/>
  <c r="K142" i="6"/>
  <c r="F142" i="6"/>
  <c r="X141" i="6"/>
  <c r="W141" i="6"/>
  <c r="V141" i="6"/>
  <c r="U141" i="6"/>
  <c r="N141" i="6"/>
  <c r="M141" i="6"/>
  <c r="L141" i="6"/>
  <c r="K141" i="6"/>
  <c r="F141" i="6"/>
  <c r="X140" i="6"/>
  <c r="W140" i="6"/>
  <c r="V140" i="6"/>
  <c r="U140" i="6"/>
  <c r="N140" i="6"/>
  <c r="M140" i="6"/>
  <c r="L140" i="6"/>
  <c r="K140" i="6"/>
  <c r="F140" i="6"/>
  <c r="X139" i="6"/>
  <c r="W139" i="6"/>
  <c r="V139" i="6"/>
  <c r="U139" i="6"/>
  <c r="N139" i="6"/>
  <c r="M139" i="6"/>
  <c r="L139" i="6"/>
  <c r="K139" i="6"/>
  <c r="F139" i="6"/>
  <c r="X138" i="6"/>
  <c r="W138" i="6"/>
  <c r="V138" i="6"/>
  <c r="U138" i="6"/>
  <c r="O138" i="6"/>
  <c r="N138" i="6"/>
  <c r="M138" i="6"/>
  <c r="L138" i="6"/>
  <c r="K138" i="6"/>
  <c r="F138" i="6"/>
  <c r="X137" i="6"/>
  <c r="W137" i="6"/>
  <c r="V137" i="6"/>
  <c r="U137" i="6"/>
  <c r="O137" i="6"/>
  <c r="N137" i="6"/>
  <c r="M137" i="6"/>
  <c r="L137" i="6"/>
  <c r="K137" i="6"/>
  <c r="F137" i="6"/>
  <c r="X136" i="6"/>
  <c r="W136" i="6"/>
  <c r="V136" i="6"/>
  <c r="U136" i="6"/>
  <c r="O136" i="6"/>
  <c r="N136" i="6"/>
  <c r="M136" i="6"/>
  <c r="L136" i="6"/>
  <c r="K136" i="6"/>
  <c r="F136" i="6"/>
  <c r="X135" i="6"/>
  <c r="W135" i="6"/>
  <c r="V135" i="6"/>
  <c r="U135" i="6"/>
  <c r="O135" i="6"/>
  <c r="N135" i="6"/>
  <c r="M135" i="6"/>
  <c r="L135" i="6"/>
  <c r="K135" i="6"/>
  <c r="F135" i="6"/>
  <c r="X134" i="6"/>
  <c r="W134" i="6"/>
  <c r="V134" i="6"/>
  <c r="U134" i="6"/>
  <c r="O134" i="6"/>
  <c r="N134" i="6"/>
  <c r="M134" i="6"/>
  <c r="L134" i="6"/>
  <c r="K134" i="6"/>
  <c r="F134" i="6"/>
  <c r="X133" i="6"/>
  <c r="W133" i="6"/>
  <c r="V133" i="6"/>
  <c r="U133" i="6"/>
  <c r="O133" i="6"/>
  <c r="N133" i="6"/>
  <c r="M133" i="6"/>
  <c r="L133" i="6"/>
  <c r="K133" i="6"/>
  <c r="F133" i="6"/>
  <c r="X132" i="6"/>
  <c r="W132" i="6"/>
  <c r="V132" i="6"/>
  <c r="U132" i="6"/>
  <c r="O132" i="6"/>
  <c r="N132" i="6"/>
  <c r="M132" i="6"/>
  <c r="L132" i="6"/>
  <c r="K132" i="6"/>
  <c r="F132" i="6"/>
  <c r="X131" i="6"/>
  <c r="W131" i="6"/>
  <c r="V131" i="6"/>
  <c r="U131" i="6"/>
  <c r="O131" i="6"/>
  <c r="N131" i="6"/>
  <c r="M131" i="6"/>
  <c r="L131" i="6"/>
  <c r="K131" i="6"/>
  <c r="F131" i="6"/>
  <c r="X130" i="6"/>
  <c r="W130" i="6"/>
  <c r="V130" i="6"/>
  <c r="U130" i="6"/>
  <c r="O130" i="6"/>
  <c r="N130" i="6"/>
  <c r="M130" i="6"/>
  <c r="L130" i="6"/>
  <c r="K130" i="6"/>
  <c r="F130" i="6"/>
  <c r="X129" i="6"/>
  <c r="W129" i="6"/>
  <c r="V129" i="6"/>
  <c r="U129" i="6"/>
  <c r="O129" i="6"/>
  <c r="N129" i="6"/>
  <c r="M129" i="6"/>
  <c r="L129" i="6"/>
  <c r="K129" i="6"/>
  <c r="F129" i="6"/>
  <c r="X128" i="6"/>
  <c r="W128" i="6"/>
  <c r="V128" i="6"/>
  <c r="U128" i="6"/>
  <c r="S128" i="6"/>
  <c r="R128" i="6"/>
  <c r="Q128" i="6"/>
  <c r="P128" i="6"/>
  <c r="O128" i="6"/>
  <c r="N128" i="6"/>
  <c r="M128" i="6"/>
  <c r="L128" i="6"/>
  <c r="K128" i="6"/>
  <c r="F128" i="6"/>
  <c r="Y127" i="6"/>
  <c r="X127" i="6"/>
  <c r="W127" i="6"/>
  <c r="V127" i="6"/>
  <c r="U127" i="6"/>
  <c r="T127" i="6"/>
  <c r="S127" i="6"/>
  <c r="R127" i="6"/>
  <c r="Q127" i="6"/>
  <c r="P127" i="6"/>
  <c r="O127" i="6"/>
  <c r="N127" i="6"/>
  <c r="M127" i="6"/>
  <c r="L127" i="6"/>
  <c r="K127" i="6"/>
  <c r="F127" i="6"/>
  <c r="Y126" i="6"/>
  <c r="X126" i="6"/>
  <c r="W126" i="6"/>
  <c r="V126" i="6"/>
  <c r="U126" i="6"/>
  <c r="T126" i="6"/>
  <c r="S126" i="6"/>
  <c r="R126" i="6"/>
  <c r="Q126" i="6"/>
  <c r="P126" i="6"/>
  <c r="O126" i="6"/>
  <c r="N126" i="6"/>
  <c r="M126" i="6"/>
  <c r="L126" i="6"/>
  <c r="K126" i="6"/>
  <c r="F126" i="6"/>
  <c r="Y125" i="6"/>
  <c r="X125" i="6"/>
  <c r="W125" i="6"/>
  <c r="V125" i="6"/>
  <c r="U125" i="6"/>
  <c r="T125" i="6"/>
  <c r="S125" i="6"/>
  <c r="R125" i="6"/>
  <c r="Q125" i="6"/>
  <c r="P125" i="6"/>
  <c r="O125" i="6"/>
  <c r="N125" i="6"/>
  <c r="M125" i="6"/>
  <c r="L125" i="6"/>
  <c r="K125" i="6"/>
  <c r="F125" i="6"/>
  <c r="Y124" i="6"/>
  <c r="X124" i="6"/>
  <c r="W124" i="6"/>
  <c r="V124" i="6"/>
  <c r="U124" i="6"/>
  <c r="T124" i="6"/>
  <c r="S124" i="6"/>
  <c r="R124" i="6"/>
  <c r="Q124" i="6"/>
  <c r="P124" i="6"/>
  <c r="O124" i="6"/>
  <c r="N124" i="6"/>
  <c r="M124" i="6"/>
  <c r="L124" i="6"/>
  <c r="K124" i="6"/>
  <c r="F124" i="6"/>
  <c r="Y123" i="6"/>
  <c r="X123" i="6"/>
  <c r="W123" i="6"/>
  <c r="V123" i="6"/>
  <c r="U123" i="6"/>
  <c r="T123" i="6"/>
  <c r="S123" i="6"/>
  <c r="R123" i="6"/>
  <c r="Q123" i="6"/>
  <c r="P123" i="6"/>
  <c r="O123" i="6"/>
  <c r="N123" i="6"/>
  <c r="M123" i="6"/>
  <c r="L123" i="6"/>
  <c r="K123" i="6"/>
  <c r="F123" i="6"/>
  <c r="Y122" i="6"/>
  <c r="X122" i="6"/>
  <c r="W122" i="6"/>
  <c r="V122" i="6"/>
  <c r="U122" i="6"/>
  <c r="T122" i="6"/>
  <c r="S122" i="6"/>
  <c r="R122" i="6"/>
  <c r="Q122" i="6"/>
  <c r="P122" i="6"/>
  <c r="O122" i="6"/>
  <c r="N122" i="6"/>
  <c r="M122" i="6"/>
  <c r="L122" i="6"/>
  <c r="K122" i="6"/>
  <c r="J122" i="6"/>
  <c r="I122" i="6"/>
  <c r="H122" i="6"/>
  <c r="G122" i="6"/>
  <c r="F122" i="6"/>
  <c r="Y121" i="6"/>
  <c r="X121" i="6"/>
  <c r="W121" i="6"/>
  <c r="V121" i="6"/>
  <c r="U121" i="6"/>
  <c r="T121" i="6"/>
  <c r="S121" i="6"/>
  <c r="R121" i="6"/>
  <c r="Q121" i="6"/>
  <c r="P121" i="6"/>
  <c r="O121" i="6"/>
  <c r="N121" i="6"/>
  <c r="M121" i="6"/>
  <c r="L121" i="6"/>
  <c r="K121" i="6"/>
  <c r="J121" i="6"/>
  <c r="I121" i="6"/>
  <c r="H121" i="6"/>
  <c r="G121" i="6"/>
  <c r="F121" i="6"/>
  <c r="BJ120" i="6"/>
  <c r="BI120" i="6"/>
  <c r="BH120" i="6"/>
  <c r="Y120" i="6"/>
  <c r="X120" i="6"/>
  <c r="W120" i="6"/>
  <c r="V120" i="6"/>
  <c r="U120" i="6"/>
  <c r="T120" i="6"/>
  <c r="S120" i="6"/>
  <c r="R120" i="6"/>
  <c r="Q120" i="6"/>
  <c r="P120" i="6"/>
  <c r="O120" i="6"/>
  <c r="N120" i="6"/>
  <c r="M120" i="6"/>
  <c r="L120" i="6"/>
  <c r="K120" i="6"/>
  <c r="J120" i="6"/>
  <c r="I120" i="6"/>
  <c r="H120" i="6"/>
  <c r="G120" i="6"/>
  <c r="F120" i="6"/>
  <c r="BJ119" i="6"/>
  <c r="BI119" i="6"/>
  <c r="BH119" i="6"/>
  <c r="Y119" i="6"/>
  <c r="X119" i="6"/>
  <c r="W119" i="6"/>
  <c r="V119" i="6"/>
  <c r="U119" i="6"/>
  <c r="T119" i="6"/>
  <c r="S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BJ118" i="6"/>
  <c r="BI118" i="6"/>
  <c r="BH118" i="6"/>
  <c r="Y118" i="6"/>
  <c r="X118" i="6"/>
  <c r="W118" i="6"/>
  <c r="V118" i="6"/>
  <c r="U118" i="6"/>
  <c r="T118" i="6"/>
  <c r="S118" i="6"/>
  <c r="R118" i="6"/>
  <c r="Q118" i="6"/>
  <c r="P118" i="6"/>
  <c r="O118" i="6"/>
  <c r="N118" i="6"/>
  <c r="M118" i="6"/>
  <c r="L118" i="6"/>
  <c r="K118" i="6"/>
  <c r="J118" i="6"/>
  <c r="I118" i="6"/>
  <c r="H118" i="6"/>
  <c r="G118" i="6"/>
  <c r="F118" i="6"/>
  <c r="BJ117" i="6"/>
  <c r="BI117" i="6"/>
  <c r="BH117" i="6"/>
  <c r="Y117" i="6"/>
  <c r="X117" i="6"/>
  <c r="W117" i="6"/>
  <c r="V117" i="6"/>
  <c r="U117" i="6"/>
  <c r="T117" i="6"/>
  <c r="S117" i="6"/>
  <c r="R117" i="6"/>
  <c r="Q117" i="6"/>
  <c r="P117" i="6"/>
  <c r="O117" i="6"/>
  <c r="N117" i="6"/>
  <c r="M117" i="6"/>
  <c r="L117" i="6"/>
  <c r="K117" i="6"/>
  <c r="J117" i="6"/>
  <c r="I117" i="6"/>
  <c r="H117" i="6"/>
  <c r="G117" i="6"/>
  <c r="F117" i="6"/>
  <c r="BJ116" i="6"/>
  <c r="BI116" i="6"/>
  <c r="BH116" i="6"/>
  <c r="Y116" i="6"/>
  <c r="X116" i="6"/>
  <c r="W116" i="6"/>
  <c r="V116" i="6"/>
  <c r="U116" i="6"/>
  <c r="T116" i="6"/>
  <c r="S116" i="6"/>
  <c r="R116" i="6"/>
  <c r="Q116" i="6"/>
  <c r="P116" i="6"/>
  <c r="O116" i="6"/>
  <c r="N116" i="6"/>
  <c r="M116" i="6"/>
  <c r="L116" i="6"/>
  <c r="K116" i="6"/>
  <c r="J116" i="6"/>
  <c r="I116" i="6"/>
  <c r="H116" i="6"/>
  <c r="G116" i="6"/>
  <c r="F116" i="6"/>
  <c r="BJ115" i="6"/>
  <c r="BI115" i="6"/>
  <c r="BH115" i="6"/>
  <c r="Y115" i="6"/>
  <c r="X115" i="6"/>
  <c r="W115" i="6"/>
  <c r="V115" i="6"/>
  <c r="U115" i="6"/>
  <c r="T115" i="6"/>
  <c r="S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F115" i="6"/>
  <c r="BJ114" i="6"/>
  <c r="BI114" i="6"/>
  <c r="BH114" i="6"/>
  <c r="Y114" i="6"/>
  <c r="X114" i="6"/>
  <c r="W114" i="6"/>
  <c r="V114" i="6"/>
  <c r="U114" i="6"/>
  <c r="T114" i="6"/>
  <c r="S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F114" i="6"/>
  <c r="BJ113" i="6"/>
  <c r="BI113" i="6"/>
  <c r="BH113" i="6"/>
  <c r="Y113" i="6"/>
  <c r="X113" i="6"/>
  <c r="W113" i="6"/>
  <c r="V113" i="6"/>
  <c r="U113" i="6"/>
  <c r="T113" i="6"/>
  <c r="S113" i="6"/>
  <c r="R113" i="6"/>
  <c r="Q113" i="6"/>
  <c r="P113" i="6"/>
  <c r="O113" i="6"/>
  <c r="M113" i="6"/>
  <c r="L113" i="6"/>
  <c r="K113" i="6"/>
  <c r="J113" i="6"/>
  <c r="I113" i="6"/>
  <c r="H113" i="6"/>
  <c r="G113" i="6"/>
  <c r="F113" i="6"/>
  <c r="BJ112" i="6"/>
  <c r="BI112" i="6"/>
  <c r="BH112" i="6"/>
  <c r="Y112" i="6"/>
  <c r="X112" i="6"/>
  <c r="W112" i="6"/>
  <c r="V112" i="6"/>
  <c r="U112" i="6"/>
  <c r="T112" i="6"/>
  <c r="S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F112" i="6"/>
  <c r="BJ111" i="6"/>
  <c r="BI111" i="6"/>
  <c r="BH111" i="6"/>
  <c r="Y111" i="6"/>
  <c r="X111" i="6"/>
  <c r="W111" i="6"/>
  <c r="V111" i="6"/>
  <c r="U111" i="6"/>
  <c r="T111" i="6"/>
  <c r="S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F111" i="6"/>
  <c r="BJ110" i="6"/>
  <c r="BI110" i="6"/>
  <c r="BH110" i="6"/>
  <c r="Y110" i="6"/>
  <c r="X110" i="6"/>
  <c r="W110" i="6"/>
  <c r="V110" i="6"/>
  <c r="U110" i="6"/>
  <c r="T110" i="6"/>
  <c r="S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F110" i="6"/>
  <c r="E110" i="6"/>
  <c r="D110" i="6"/>
  <c r="C110" i="6"/>
  <c r="B110" i="6"/>
  <c r="A110" i="6"/>
  <c r="BJ109" i="6"/>
  <c r="BI109" i="6"/>
  <c r="BH109" i="6"/>
  <c r="Y109" i="6"/>
  <c r="X109" i="6"/>
  <c r="W109" i="6"/>
  <c r="V109" i="6"/>
  <c r="U109" i="6"/>
  <c r="T109" i="6"/>
  <c r="S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F109" i="6"/>
  <c r="E109" i="6"/>
  <c r="D109" i="6"/>
  <c r="C109" i="6"/>
  <c r="B109" i="6"/>
  <c r="A109" i="6"/>
  <c r="BJ108" i="6"/>
  <c r="BI108" i="6"/>
  <c r="BH108" i="6"/>
  <c r="Y108" i="6"/>
  <c r="X108" i="6"/>
  <c r="W108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D108" i="6"/>
  <c r="C108" i="6"/>
  <c r="B108" i="6"/>
  <c r="A108" i="6"/>
  <c r="BJ107" i="6"/>
  <c r="BI107" i="6"/>
  <c r="BH107" i="6"/>
  <c r="Y107" i="6"/>
  <c r="X107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F107" i="6"/>
  <c r="E107" i="6"/>
  <c r="D107" i="6"/>
  <c r="C107" i="6"/>
  <c r="B107" i="6"/>
  <c r="A107" i="6"/>
  <c r="BJ106" i="6"/>
  <c r="BI106" i="6"/>
  <c r="BH106" i="6"/>
  <c r="Y106" i="6"/>
  <c r="X106" i="6"/>
  <c r="W106" i="6"/>
  <c r="V106" i="6"/>
  <c r="U106" i="6"/>
  <c r="T106" i="6"/>
  <c r="S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E106" i="6"/>
  <c r="D106" i="6"/>
  <c r="C106" i="6"/>
  <c r="B106" i="6"/>
  <c r="A106" i="6"/>
  <c r="BJ105" i="6"/>
  <c r="BI105" i="6"/>
  <c r="BH105" i="6"/>
  <c r="Y105" i="6"/>
  <c r="X105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F105" i="6"/>
  <c r="E105" i="6"/>
  <c r="D105" i="6"/>
  <c r="C105" i="6"/>
  <c r="B105" i="6"/>
  <c r="A105" i="6"/>
  <c r="BJ104" i="6"/>
  <c r="BI104" i="6"/>
  <c r="BH104" i="6"/>
  <c r="Y104" i="6"/>
  <c r="X104" i="6"/>
  <c r="W104" i="6"/>
  <c r="V104" i="6"/>
  <c r="U104" i="6"/>
  <c r="T104" i="6"/>
  <c r="S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F104" i="6"/>
  <c r="E104" i="6"/>
  <c r="D104" i="6"/>
  <c r="C104" i="6"/>
  <c r="B104" i="6"/>
  <c r="A104" i="6"/>
  <c r="BJ103" i="6"/>
  <c r="BI103" i="6"/>
  <c r="BH103" i="6"/>
  <c r="Y103" i="6"/>
  <c r="X103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F103" i="6"/>
  <c r="E103" i="6"/>
  <c r="D103" i="6"/>
  <c r="C103" i="6"/>
  <c r="B103" i="6"/>
  <c r="A103" i="6"/>
  <c r="BJ102" i="6"/>
  <c r="BI102" i="6"/>
  <c r="BH102" i="6"/>
  <c r="Y102" i="6"/>
  <c r="X102" i="6"/>
  <c r="W102" i="6"/>
  <c r="V102" i="6"/>
  <c r="U102" i="6"/>
  <c r="T102" i="6"/>
  <c r="S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F102" i="6"/>
  <c r="E102" i="6"/>
  <c r="D102" i="6"/>
  <c r="C102" i="6"/>
  <c r="B102" i="6"/>
  <c r="A102" i="6"/>
  <c r="BJ101" i="6"/>
  <c r="BI101" i="6"/>
  <c r="BH101" i="6"/>
  <c r="Y101" i="6"/>
  <c r="X101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F101" i="6"/>
  <c r="E101" i="6"/>
  <c r="D101" i="6"/>
  <c r="C101" i="6"/>
  <c r="B101" i="6"/>
  <c r="A101" i="6"/>
  <c r="BJ100" i="6"/>
  <c r="BI100" i="6"/>
  <c r="BH100" i="6"/>
  <c r="Y100" i="6"/>
  <c r="X100" i="6"/>
  <c r="W100" i="6"/>
  <c r="V100" i="6"/>
  <c r="U100" i="6"/>
  <c r="T100" i="6"/>
  <c r="S100" i="6"/>
  <c r="R100" i="6"/>
  <c r="Q100" i="6"/>
  <c r="P100" i="6"/>
  <c r="O100" i="6"/>
  <c r="N100" i="6"/>
  <c r="M100" i="6"/>
  <c r="L100" i="6"/>
  <c r="K100" i="6"/>
  <c r="J100" i="6"/>
  <c r="I100" i="6"/>
  <c r="H100" i="6"/>
  <c r="G100" i="6"/>
  <c r="F100" i="6"/>
  <c r="E100" i="6"/>
  <c r="D100" i="6"/>
  <c r="C100" i="6"/>
  <c r="B100" i="6"/>
  <c r="A100" i="6"/>
  <c r="BJ99" i="6"/>
  <c r="BI99" i="6"/>
  <c r="BH99" i="6"/>
  <c r="Y99" i="6"/>
  <c r="X99" i="6"/>
  <c r="W99" i="6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D99" i="6"/>
  <c r="C99" i="6"/>
  <c r="B99" i="6"/>
  <c r="A99" i="6"/>
  <c r="BJ98" i="6"/>
  <c r="BI98" i="6"/>
  <c r="BH98" i="6"/>
  <c r="Y98" i="6"/>
  <c r="X98" i="6"/>
  <c r="W98" i="6"/>
  <c r="V98" i="6"/>
  <c r="U98" i="6"/>
  <c r="T98" i="6"/>
  <c r="S98" i="6"/>
  <c r="R98" i="6"/>
  <c r="Q98" i="6"/>
  <c r="P98" i="6"/>
  <c r="O98" i="6"/>
  <c r="N98" i="6"/>
  <c r="M98" i="6"/>
  <c r="L98" i="6"/>
  <c r="K98" i="6"/>
  <c r="J98" i="6"/>
  <c r="I98" i="6"/>
  <c r="H98" i="6"/>
  <c r="G98" i="6"/>
  <c r="F98" i="6"/>
  <c r="E98" i="6"/>
  <c r="D98" i="6"/>
  <c r="C98" i="6"/>
  <c r="B98" i="6"/>
  <c r="A98" i="6"/>
  <c r="BJ97" i="6"/>
  <c r="BI97" i="6"/>
  <c r="BH97" i="6"/>
  <c r="Y97" i="6"/>
  <c r="X97" i="6"/>
  <c r="W97" i="6"/>
  <c r="V97" i="6"/>
  <c r="U97" i="6"/>
  <c r="T97" i="6"/>
  <c r="S97" i="6"/>
  <c r="R97" i="6"/>
  <c r="Q97" i="6"/>
  <c r="P97" i="6"/>
  <c r="O97" i="6"/>
  <c r="N97" i="6"/>
  <c r="M97" i="6"/>
  <c r="L97" i="6"/>
  <c r="K97" i="6"/>
  <c r="J97" i="6"/>
  <c r="I97" i="6"/>
  <c r="H97" i="6"/>
  <c r="G97" i="6"/>
  <c r="F97" i="6"/>
  <c r="E97" i="6"/>
  <c r="D97" i="6"/>
  <c r="C97" i="6"/>
  <c r="B97" i="6"/>
  <c r="A97" i="6"/>
  <c r="BJ96" i="6"/>
  <c r="BI96" i="6"/>
  <c r="BH96" i="6"/>
  <c r="Y96" i="6"/>
  <c r="X96" i="6"/>
  <c r="W96" i="6"/>
  <c r="V96" i="6"/>
  <c r="U96" i="6"/>
  <c r="T96" i="6"/>
  <c r="S96" i="6"/>
  <c r="R96" i="6"/>
  <c r="Q96" i="6"/>
  <c r="P96" i="6"/>
  <c r="O96" i="6"/>
  <c r="N96" i="6"/>
  <c r="M96" i="6"/>
  <c r="L96" i="6"/>
  <c r="K96" i="6"/>
  <c r="J96" i="6"/>
  <c r="I96" i="6"/>
  <c r="H96" i="6"/>
  <c r="G96" i="6"/>
  <c r="F96" i="6"/>
  <c r="E96" i="6"/>
  <c r="D96" i="6"/>
  <c r="C96" i="6"/>
  <c r="B96" i="6"/>
  <c r="A96" i="6"/>
  <c r="BJ95" i="6"/>
  <c r="BI95" i="6"/>
  <c r="BH95" i="6"/>
  <c r="Y95" i="6"/>
  <c r="X95" i="6"/>
  <c r="W95" i="6"/>
  <c r="V95" i="6"/>
  <c r="U95" i="6"/>
  <c r="T95" i="6"/>
  <c r="S95" i="6"/>
  <c r="R95" i="6"/>
  <c r="Q95" i="6"/>
  <c r="P95" i="6"/>
  <c r="O95" i="6"/>
  <c r="N95" i="6"/>
  <c r="M95" i="6"/>
  <c r="L95" i="6"/>
  <c r="K95" i="6"/>
  <c r="J95" i="6"/>
  <c r="I95" i="6"/>
  <c r="H95" i="6"/>
  <c r="G95" i="6"/>
  <c r="F95" i="6"/>
  <c r="E95" i="6"/>
  <c r="D95" i="6"/>
  <c r="C95" i="6"/>
  <c r="B95" i="6"/>
  <c r="A95" i="6"/>
  <c r="BJ94" i="6"/>
  <c r="BI94" i="6"/>
  <c r="BH94" i="6"/>
  <c r="Y94" i="6"/>
  <c r="X94" i="6"/>
  <c r="W94" i="6"/>
  <c r="V94" i="6"/>
  <c r="U94" i="6"/>
  <c r="T94" i="6"/>
  <c r="S94" i="6"/>
  <c r="R94" i="6"/>
  <c r="Q94" i="6"/>
  <c r="P94" i="6"/>
  <c r="O94" i="6"/>
  <c r="N94" i="6"/>
  <c r="M94" i="6"/>
  <c r="L94" i="6"/>
  <c r="K94" i="6"/>
  <c r="J94" i="6"/>
  <c r="I94" i="6"/>
  <c r="H94" i="6"/>
  <c r="G94" i="6"/>
  <c r="F94" i="6"/>
  <c r="E94" i="6"/>
  <c r="D94" i="6"/>
  <c r="C94" i="6"/>
  <c r="B94" i="6"/>
  <c r="A94" i="6"/>
  <c r="BJ93" i="6"/>
  <c r="BI93" i="6"/>
  <c r="BH93" i="6"/>
  <c r="Y93" i="6"/>
  <c r="X93" i="6"/>
  <c r="W93" i="6"/>
  <c r="V93" i="6"/>
  <c r="U93" i="6"/>
  <c r="T93" i="6"/>
  <c r="S93" i="6"/>
  <c r="R93" i="6"/>
  <c r="Q93" i="6"/>
  <c r="P93" i="6"/>
  <c r="O93" i="6"/>
  <c r="N93" i="6"/>
  <c r="M93" i="6"/>
  <c r="L93" i="6"/>
  <c r="K93" i="6"/>
  <c r="J93" i="6"/>
  <c r="I93" i="6"/>
  <c r="H93" i="6"/>
  <c r="G93" i="6"/>
  <c r="F93" i="6"/>
  <c r="E93" i="6"/>
  <c r="D93" i="6"/>
  <c r="C93" i="6"/>
  <c r="B93" i="6"/>
  <c r="A93" i="6"/>
  <c r="BJ92" i="6"/>
  <c r="BI92" i="6"/>
  <c r="BH92" i="6"/>
  <c r="Y92" i="6"/>
  <c r="X92" i="6"/>
  <c r="W92" i="6"/>
  <c r="V92" i="6"/>
  <c r="U92" i="6"/>
  <c r="T92" i="6"/>
  <c r="S92" i="6"/>
  <c r="R92" i="6"/>
  <c r="Q92" i="6"/>
  <c r="P92" i="6"/>
  <c r="O92" i="6"/>
  <c r="N92" i="6"/>
  <c r="M92" i="6"/>
  <c r="L92" i="6"/>
  <c r="K92" i="6"/>
  <c r="J92" i="6"/>
  <c r="I92" i="6"/>
  <c r="H92" i="6"/>
  <c r="G92" i="6"/>
  <c r="F92" i="6"/>
  <c r="E92" i="6"/>
  <c r="D92" i="6"/>
  <c r="C92" i="6"/>
  <c r="B92" i="6"/>
  <c r="A92" i="6"/>
  <c r="BJ91" i="6"/>
  <c r="BI91" i="6"/>
  <c r="BH91" i="6"/>
  <c r="Y91" i="6"/>
  <c r="X91" i="6"/>
  <c r="W91" i="6"/>
  <c r="V91" i="6"/>
  <c r="U91" i="6"/>
  <c r="T91" i="6"/>
  <c r="S91" i="6"/>
  <c r="R91" i="6"/>
  <c r="Q91" i="6"/>
  <c r="P91" i="6"/>
  <c r="O91" i="6"/>
  <c r="N91" i="6"/>
  <c r="M91" i="6"/>
  <c r="L91" i="6"/>
  <c r="K91" i="6"/>
  <c r="J91" i="6"/>
  <c r="I91" i="6"/>
  <c r="H91" i="6"/>
  <c r="G91" i="6"/>
  <c r="F91" i="6"/>
  <c r="E91" i="6"/>
  <c r="D91" i="6"/>
  <c r="C91" i="6"/>
  <c r="B91" i="6"/>
  <c r="A91" i="6"/>
  <c r="BJ90" i="6"/>
  <c r="BI90" i="6"/>
  <c r="BH90" i="6"/>
  <c r="Y90" i="6"/>
  <c r="X90" i="6"/>
  <c r="W90" i="6"/>
  <c r="V90" i="6"/>
  <c r="U90" i="6"/>
  <c r="T90" i="6"/>
  <c r="S90" i="6"/>
  <c r="R90" i="6"/>
  <c r="Q90" i="6"/>
  <c r="P90" i="6"/>
  <c r="O90" i="6"/>
  <c r="N90" i="6"/>
  <c r="M90" i="6"/>
  <c r="L90" i="6"/>
  <c r="K90" i="6"/>
  <c r="J90" i="6"/>
  <c r="I90" i="6"/>
  <c r="H90" i="6"/>
  <c r="G90" i="6"/>
  <c r="F90" i="6"/>
  <c r="E90" i="6"/>
  <c r="D90" i="6"/>
  <c r="C90" i="6"/>
  <c r="B90" i="6"/>
  <c r="A90" i="6"/>
  <c r="BJ89" i="6"/>
  <c r="BI89" i="6"/>
  <c r="BH89" i="6"/>
  <c r="Y89" i="6"/>
  <c r="X89" i="6"/>
  <c r="W89" i="6"/>
  <c r="V89" i="6"/>
  <c r="U89" i="6"/>
  <c r="T89" i="6"/>
  <c r="S89" i="6"/>
  <c r="R89" i="6"/>
  <c r="Q89" i="6"/>
  <c r="P89" i="6"/>
  <c r="O89" i="6"/>
  <c r="N89" i="6"/>
  <c r="M89" i="6"/>
  <c r="L89" i="6"/>
  <c r="K89" i="6"/>
  <c r="J89" i="6"/>
  <c r="I89" i="6"/>
  <c r="H89" i="6"/>
  <c r="G89" i="6"/>
  <c r="F89" i="6"/>
  <c r="E89" i="6"/>
  <c r="D89" i="6"/>
  <c r="C89" i="6"/>
  <c r="B89" i="6"/>
  <c r="A89" i="6"/>
  <c r="BJ88" i="6"/>
  <c r="BI88" i="6"/>
  <c r="BH88" i="6"/>
  <c r="Y88" i="6"/>
  <c r="X88" i="6"/>
  <c r="W88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H88" i="6"/>
  <c r="G88" i="6"/>
  <c r="F88" i="6"/>
  <c r="E88" i="6"/>
  <c r="D88" i="6"/>
  <c r="C88" i="6"/>
  <c r="B88" i="6"/>
  <c r="A88" i="6"/>
  <c r="BJ87" i="6"/>
  <c r="BI87" i="6"/>
  <c r="BH87" i="6"/>
  <c r="Y87" i="6"/>
  <c r="X87" i="6"/>
  <c r="W87" i="6"/>
  <c r="V87" i="6"/>
  <c r="U87" i="6"/>
  <c r="T87" i="6"/>
  <c r="S87" i="6"/>
  <c r="R87" i="6"/>
  <c r="Q87" i="6"/>
  <c r="P87" i="6"/>
  <c r="O87" i="6"/>
  <c r="N87" i="6"/>
  <c r="M87" i="6"/>
  <c r="L87" i="6"/>
  <c r="K87" i="6"/>
  <c r="J87" i="6"/>
  <c r="I87" i="6"/>
  <c r="H87" i="6"/>
  <c r="G87" i="6"/>
  <c r="F87" i="6"/>
  <c r="E87" i="6"/>
  <c r="D87" i="6"/>
  <c r="C87" i="6"/>
  <c r="B87" i="6"/>
  <c r="A87" i="6"/>
  <c r="BJ86" i="6"/>
  <c r="BI86" i="6"/>
  <c r="BH86" i="6"/>
  <c r="Y86" i="6"/>
  <c r="X86" i="6"/>
  <c r="W86" i="6"/>
  <c r="V86" i="6"/>
  <c r="U86" i="6"/>
  <c r="T86" i="6"/>
  <c r="S86" i="6"/>
  <c r="R86" i="6"/>
  <c r="Q86" i="6"/>
  <c r="P86" i="6"/>
  <c r="O86" i="6"/>
  <c r="N86" i="6"/>
  <c r="M86" i="6"/>
  <c r="L86" i="6"/>
  <c r="K86" i="6"/>
  <c r="J86" i="6"/>
  <c r="I86" i="6"/>
  <c r="H86" i="6"/>
  <c r="G86" i="6"/>
  <c r="F86" i="6"/>
  <c r="E86" i="6"/>
  <c r="D86" i="6"/>
  <c r="C86" i="6"/>
  <c r="B86" i="6"/>
  <c r="A86" i="6"/>
  <c r="BJ85" i="6"/>
  <c r="BI85" i="6"/>
  <c r="BH85" i="6"/>
  <c r="Y85" i="6"/>
  <c r="X85" i="6"/>
  <c r="W85" i="6"/>
  <c r="V85" i="6"/>
  <c r="U85" i="6"/>
  <c r="T85" i="6"/>
  <c r="S85" i="6"/>
  <c r="R85" i="6"/>
  <c r="Q85" i="6"/>
  <c r="P85" i="6"/>
  <c r="O85" i="6"/>
  <c r="N85" i="6"/>
  <c r="M85" i="6"/>
  <c r="L85" i="6"/>
  <c r="K85" i="6"/>
  <c r="J85" i="6"/>
  <c r="I85" i="6"/>
  <c r="H85" i="6"/>
  <c r="G85" i="6"/>
  <c r="F85" i="6"/>
  <c r="E85" i="6"/>
  <c r="D85" i="6"/>
  <c r="C85" i="6"/>
  <c r="B85" i="6"/>
  <c r="A85" i="6"/>
  <c r="BJ84" i="6"/>
  <c r="BI84" i="6"/>
  <c r="BH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H84" i="6"/>
  <c r="G84" i="6"/>
  <c r="F84" i="6"/>
  <c r="E84" i="6"/>
  <c r="D84" i="6"/>
  <c r="C84" i="6"/>
  <c r="B84" i="6"/>
  <c r="A84" i="6"/>
  <c r="BJ83" i="6"/>
  <c r="BI83" i="6"/>
  <c r="BH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H83" i="6"/>
  <c r="G83" i="6"/>
  <c r="F83" i="6"/>
  <c r="E83" i="6"/>
  <c r="D83" i="6"/>
  <c r="C83" i="6"/>
  <c r="B83" i="6"/>
  <c r="A83" i="6"/>
  <c r="BJ82" i="6"/>
  <c r="BI82" i="6"/>
  <c r="BH82" i="6"/>
  <c r="Y82" i="6"/>
  <c r="X82" i="6"/>
  <c r="W82" i="6"/>
  <c r="V82" i="6"/>
  <c r="U82" i="6"/>
  <c r="T82" i="6"/>
  <c r="S82" i="6"/>
  <c r="R82" i="6"/>
  <c r="Q82" i="6"/>
  <c r="P82" i="6"/>
  <c r="O82" i="6"/>
  <c r="N82" i="6"/>
  <c r="M82" i="6"/>
  <c r="L82" i="6"/>
  <c r="K82" i="6"/>
  <c r="J82" i="6"/>
  <c r="I82" i="6"/>
  <c r="H82" i="6"/>
  <c r="G82" i="6"/>
  <c r="F82" i="6"/>
  <c r="E82" i="6"/>
  <c r="D82" i="6"/>
  <c r="C82" i="6"/>
  <c r="B82" i="6"/>
  <c r="A82" i="6"/>
  <c r="BJ81" i="6"/>
  <c r="BI81" i="6"/>
  <c r="BH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H81" i="6"/>
  <c r="G81" i="6"/>
  <c r="F81" i="6"/>
  <c r="E81" i="6"/>
  <c r="D81" i="6"/>
  <c r="C81" i="6"/>
  <c r="B81" i="6"/>
  <c r="A81" i="6"/>
  <c r="BJ80" i="6"/>
  <c r="BI80" i="6"/>
  <c r="BH80" i="6"/>
  <c r="Y80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F80" i="6"/>
  <c r="E80" i="6"/>
  <c r="D80" i="6"/>
  <c r="C80" i="6"/>
  <c r="B80" i="6"/>
  <c r="A80" i="6"/>
  <c r="BJ79" i="6"/>
  <c r="BI79" i="6"/>
  <c r="BH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D79" i="6"/>
  <c r="C79" i="6"/>
  <c r="B79" i="6"/>
  <c r="A79" i="6"/>
  <c r="BJ78" i="6"/>
  <c r="BI78" i="6"/>
  <c r="BH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H78" i="6"/>
  <c r="G78" i="6"/>
  <c r="F78" i="6"/>
  <c r="E78" i="6"/>
  <c r="D78" i="6"/>
  <c r="C78" i="6"/>
  <c r="B78" i="6"/>
  <c r="A78" i="6"/>
  <c r="BJ77" i="6"/>
  <c r="BI77" i="6"/>
  <c r="BH77" i="6"/>
  <c r="Y77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D77" i="6"/>
  <c r="C77" i="6"/>
  <c r="B77" i="6"/>
  <c r="A77" i="6"/>
  <c r="BJ76" i="6"/>
  <c r="BI76" i="6"/>
  <c r="BH76" i="6"/>
  <c r="Y76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C76" i="6"/>
  <c r="B76" i="6"/>
  <c r="A76" i="6"/>
  <c r="BJ75" i="6"/>
  <c r="BI75" i="6"/>
  <c r="BH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D75" i="6"/>
  <c r="C75" i="6"/>
  <c r="B75" i="6"/>
  <c r="A75" i="6"/>
  <c r="BJ74" i="6"/>
  <c r="BI74" i="6"/>
  <c r="BH74" i="6"/>
  <c r="Y74" i="6"/>
  <c r="X74" i="6"/>
  <c r="W74" i="6"/>
  <c r="V74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D74" i="6"/>
  <c r="C74" i="6"/>
  <c r="B74" i="6"/>
  <c r="A74" i="6"/>
  <c r="BJ73" i="6"/>
  <c r="BI73" i="6"/>
  <c r="BH73" i="6"/>
  <c r="Y73" i="6"/>
  <c r="X73" i="6"/>
  <c r="W73" i="6"/>
  <c r="V73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F73" i="6"/>
  <c r="E73" i="6"/>
  <c r="D73" i="6"/>
  <c r="C73" i="6"/>
  <c r="B73" i="6"/>
  <c r="A73" i="6"/>
  <c r="BJ72" i="6"/>
  <c r="BI72" i="6"/>
  <c r="BH72" i="6"/>
  <c r="Y72" i="6"/>
  <c r="X72" i="6"/>
  <c r="W72" i="6"/>
  <c r="V72" i="6"/>
  <c r="U72" i="6"/>
  <c r="T72" i="6"/>
  <c r="S72" i="6"/>
  <c r="R72" i="6"/>
  <c r="Q72" i="6"/>
  <c r="P72" i="6"/>
  <c r="O72" i="6"/>
  <c r="N72" i="6"/>
  <c r="M72" i="6"/>
  <c r="L72" i="6"/>
  <c r="K72" i="6"/>
  <c r="J72" i="6"/>
  <c r="I72" i="6"/>
  <c r="H72" i="6"/>
  <c r="G72" i="6"/>
  <c r="F72" i="6"/>
  <c r="E72" i="6"/>
  <c r="D72" i="6"/>
  <c r="C72" i="6"/>
  <c r="B72" i="6"/>
  <c r="A72" i="6"/>
  <c r="BJ71" i="6"/>
  <c r="BI71" i="6"/>
  <c r="BH71" i="6"/>
  <c r="Y71" i="6"/>
  <c r="X71" i="6"/>
  <c r="W71" i="6"/>
  <c r="V71" i="6"/>
  <c r="U71" i="6"/>
  <c r="T71" i="6"/>
  <c r="S71" i="6"/>
  <c r="R71" i="6"/>
  <c r="Q71" i="6"/>
  <c r="P71" i="6"/>
  <c r="O71" i="6"/>
  <c r="N71" i="6"/>
  <c r="M71" i="6"/>
  <c r="L71" i="6"/>
  <c r="K71" i="6"/>
  <c r="J71" i="6"/>
  <c r="I71" i="6"/>
  <c r="H71" i="6"/>
  <c r="G71" i="6"/>
  <c r="F71" i="6"/>
  <c r="E71" i="6"/>
  <c r="D71" i="6"/>
  <c r="C71" i="6"/>
  <c r="B71" i="6"/>
  <c r="A71" i="6"/>
  <c r="BJ70" i="6"/>
  <c r="BI70" i="6"/>
  <c r="BH70" i="6"/>
  <c r="Y70" i="6"/>
  <c r="X70" i="6"/>
  <c r="W70" i="6"/>
  <c r="V70" i="6"/>
  <c r="U70" i="6"/>
  <c r="T70" i="6"/>
  <c r="S70" i="6"/>
  <c r="R70" i="6"/>
  <c r="Q70" i="6"/>
  <c r="P70" i="6"/>
  <c r="O70" i="6"/>
  <c r="N70" i="6"/>
  <c r="M70" i="6"/>
  <c r="L70" i="6"/>
  <c r="K70" i="6"/>
  <c r="J70" i="6"/>
  <c r="I70" i="6"/>
  <c r="H70" i="6"/>
  <c r="G70" i="6"/>
  <c r="F70" i="6"/>
  <c r="E70" i="6"/>
  <c r="D70" i="6"/>
  <c r="C70" i="6"/>
  <c r="B70" i="6"/>
  <c r="A70" i="6"/>
  <c r="BJ69" i="6"/>
  <c r="BI69" i="6"/>
  <c r="BH69" i="6"/>
  <c r="Y69" i="6"/>
  <c r="X69" i="6"/>
  <c r="W69" i="6"/>
  <c r="V69" i="6"/>
  <c r="U69" i="6"/>
  <c r="T69" i="6"/>
  <c r="S69" i="6"/>
  <c r="R69" i="6"/>
  <c r="Q69" i="6"/>
  <c r="P69" i="6"/>
  <c r="O69" i="6"/>
  <c r="N69" i="6"/>
  <c r="M69" i="6"/>
  <c r="L69" i="6"/>
  <c r="K69" i="6"/>
  <c r="J69" i="6"/>
  <c r="I69" i="6"/>
  <c r="H69" i="6"/>
  <c r="G69" i="6"/>
  <c r="F69" i="6"/>
  <c r="E69" i="6"/>
  <c r="D69" i="6"/>
  <c r="C69" i="6"/>
  <c r="B69" i="6"/>
  <c r="A69" i="6"/>
  <c r="BJ68" i="6"/>
  <c r="BI68" i="6"/>
  <c r="BH68" i="6"/>
  <c r="Y68" i="6"/>
  <c r="X68" i="6"/>
  <c r="W68" i="6"/>
  <c r="V68" i="6"/>
  <c r="U68" i="6"/>
  <c r="T68" i="6"/>
  <c r="S68" i="6"/>
  <c r="R68" i="6"/>
  <c r="Q68" i="6"/>
  <c r="P68" i="6"/>
  <c r="O68" i="6"/>
  <c r="M68" i="6"/>
  <c r="L68" i="6"/>
  <c r="K68" i="6"/>
  <c r="J68" i="6"/>
  <c r="I68" i="6"/>
  <c r="H68" i="6"/>
  <c r="G68" i="6"/>
  <c r="F68" i="6"/>
  <c r="E68" i="6"/>
  <c r="D68" i="6"/>
  <c r="C68" i="6"/>
  <c r="B68" i="6"/>
  <c r="A68" i="6"/>
  <c r="BJ67" i="6"/>
  <c r="BI67" i="6"/>
  <c r="BH67" i="6"/>
  <c r="Y67" i="6"/>
  <c r="X67" i="6"/>
  <c r="W67" i="6"/>
  <c r="V67" i="6"/>
  <c r="U67" i="6"/>
  <c r="T67" i="6"/>
  <c r="S67" i="6"/>
  <c r="R67" i="6"/>
  <c r="Q67" i="6"/>
  <c r="P67" i="6"/>
  <c r="O67" i="6"/>
  <c r="N67" i="6"/>
  <c r="M67" i="6"/>
  <c r="L67" i="6"/>
  <c r="K67" i="6"/>
  <c r="J67" i="6"/>
  <c r="I67" i="6"/>
  <c r="H67" i="6"/>
  <c r="G67" i="6"/>
  <c r="F67" i="6"/>
  <c r="E67" i="6"/>
  <c r="D67" i="6"/>
  <c r="C67" i="6"/>
  <c r="B67" i="6"/>
  <c r="A67" i="6"/>
  <c r="BJ66" i="6"/>
  <c r="BI66" i="6"/>
  <c r="BH66" i="6"/>
  <c r="Y66" i="6"/>
  <c r="X66" i="6"/>
  <c r="W66" i="6"/>
  <c r="V66" i="6"/>
  <c r="U66" i="6"/>
  <c r="T66" i="6"/>
  <c r="S66" i="6"/>
  <c r="R66" i="6"/>
  <c r="Q66" i="6"/>
  <c r="P66" i="6"/>
  <c r="O66" i="6"/>
  <c r="N66" i="6"/>
  <c r="M66" i="6"/>
  <c r="L66" i="6"/>
  <c r="K66" i="6"/>
  <c r="J66" i="6"/>
  <c r="I66" i="6"/>
  <c r="H66" i="6"/>
  <c r="G66" i="6"/>
  <c r="F66" i="6"/>
  <c r="E66" i="6"/>
  <c r="D66" i="6"/>
  <c r="C66" i="6"/>
  <c r="B66" i="6"/>
  <c r="A66" i="6"/>
  <c r="BJ65" i="6"/>
  <c r="BI65" i="6"/>
  <c r="BH65" i="6"/>
  <c r="Y65" i="6"/>
  <c r="X65" i="6"/>
  <c r="W65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C65" i="6"/>
  <c r="B65" i="6"/>
  <c r="A65" i="6"/>
  <c r="BJ64" i="6"/>
  <c r="BI64" i="6"/>
  <c r="BH64" i="6"/>
  <c r="Y64" i="6"/>
  <c r="X64" i="6"/>
  <c r="W64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C64" i="6"/>
  <c r="B64" i="6"/>
  <c r="A64" i="6"/>
  <c r="BJ63" i="6"/>
  <c r="BI63" i="6"/>
  <c r="BH63" i="6"/>
  <c r="Y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C63" i="6"/>
  <c r="B63" i="6"/>
  <c r="A63" i="6"/>
  <c r="BJ62" i="6"/>
  <c r="BI62" i="6"/>
  <c r="BH62" i="6"/>
  <c r="Y62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C62" i="6"/>
  <c r="B62" i="6"/>
  <c r="A62" i="6"/>
  <c r="BJ61" i="6"/>
  <c r="BI61" i="6"/>
  <c r="BH61" i="6"/>
  <c r="Y61" i="6"/>
  <c r="X61" i="6"/>
  <c r="W61" i="6"/>
  <c r="V61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D61" i="6"/>
  <c r="C61" i="6"/>
  <c r="B61" i="6"/>
  <c r="A61" i="6"/>
  <c r="BJ60" i="6"/>
  <c r="BI60" i="6"/>
  <c r="BH60" i="6"/>
  <c r="Y60" i="6"/>
  <c r="X60" i="6"/>
  <c r="W60" i="6"/>
  <c r="V60" i="6"/>
  <c r="U60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G60" i="6"/>
  <c r="F60" i="6"/>
  <c r="E60" i="6"/>
  <c r="D60" i="6"/>
  <c r="C60" i="6"/>
  <c r="B60" i="6"/>
  <c r="A60" i="6"/>
  <c r="BJ59" i="6"/>
  <c r="BI59" i="6"/>
  <c r="BH59" i="6"/>
  <c r="Y59" i="6"/>
  <c r="X59" i="6"/>
  <c r="W59" i="6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D59" i="6"/>
  <c r="C59" i="6"/>
  <c r="B59" i="6"/>
  <c r="A59" i="6"/>
  <c r="BJ58" i="6"/>
  <c r="BI58" i="6"/>
  <c r="BH58" i="6"/>
  <c r="Y58" i="6"/>
  <c r="X58" i="6"/>
  <c r="W58" i="6"/>
  <c r="V58" i="6"/>
  <c r="U58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F58" i="6"/>
  <c r="E58" i="6"/>
  <c r="D58" i="6"/>
  <c r="C58" i="6"/>
  <c r="B58" i="6"/>
  <c r="A58" i="6"/>
  <c r="BJ57" i="6"/>
  <c r="BI57" i="6"/>
  <c r="AG57" i="6"/>
  <c r="AF57" i="6"/>
  <c r="AE57" i="6"/>
  <c r="AD57" i="6"/>
  <c r="Y57" i="6"/>
  <c r="X57" i="6"/>
  <c r="W57" i="6"/>
  <c r="V57" i="6"/>
  <c r="U57" i="6"/>
  <c r="T57" i="6"/>
  <c r="S57" i="6"/>
  <c r="R57" i="6"/>
  <c r="Q57" i="6"/>
  <c r="P57" i="6"/>
  <c r="O57" i="6"/>
  <c r="N57" i="6"/>
  <c r="M57" i="6"/>
  <c r="L57" i="6"/>
  <c r="K57" i="6"/>
  <c r="J57" i="6"/>
  <c r="I57" i="6"/>
  <c r="H57" i="6"/>
  <c r="G57" i="6"/>
  <c r="F57" i="6"/>
  <c r="E57" i="6"/>
  <c r="D57" i="6"/>
  <c r="C57" i="6"/>
  <c r="B57" i="6"/>
  <c r="A57" i="6"/>
  <c r="AG56" i="6"/>
  <c r="AF56" i="6"/>
  <c r="AE56" i="6"/>
  <c r="AD56" i="6"/>
  <c r="Y56" i="6"/>
  <c r="X56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D56" i="6"/>
  <c r="C56" i="6"/>
  <c r="B56" i="6"/>
  <c r="A56" i="6"/>
  <c r="AG55" i="6"/>
  <c r="AF55" i="6"/>
  <c r="AE55" i="6"/>
  <c r="AD55" i="6"/>
  <c r="Y55" i="6"/>
  <c r="X55" i="6"/>
  <c r="W55" i="6"/>
  <c r="V55" i="6"/>
  <c r="U55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F55" i="6"/>
  <c r="E55" i="6"/>
  <c r="D55" i="6"/>
  <c r="C55" i="6"/>
  <c r="B55" i="6"/>
  <c r="A55" i="6"/>
  <c r="AG54" i="6"/>
  <c r="AF54" i="6"/>
  <c r="AE54" i="6"/>
  <c r="AD54" i="6"/>
  <c r="Y54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C54" i="6"/>
  <c r="B54" i="6"/>
  <c r="A54" i="6"/>
  <c r="AG53" i="6"/>
  <c r="AF53" i="6"/>
  <c r="AE53" i="6"/>
  <c r="AD53" i="6"/>
  <c r="Y53" i="6"/>
  <c r="X53" i="6"/>
  <c r="W53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D53" i="6"/>
  <c r="C53" i="6"/>
  <c r="B53" i="6"/>
  <c r="A53" i="6"/>
  <c r="AG52" i="6"/>
  <c r="AF52" i="6"/>
  <c r="AE52" i="6"/>
  <c r="AD52" i="6"/>
  <c r="Y52" i="6"/>
  <c r="X52" i="6"/>
  <c r="W52" i="6"/>
  <c r="V52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C52" i="6"/>
  <c r="B52" i="6"/>
  <c r="A52" i="6"/>
  <c r="AG51" i="6"/>
  <c r="AF51" i="6"/>
  <c r="AE51" i="6"/>
  <c r="AD51" i="6"/>
  <c r="Y51" i="6"/>
  <c r="X51" i="6"/>
  <c r="W51" i="6"/>
  <c r="V51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C51" i="6"/>
  <c r="B51" i="6"/>
  <c r="A51" i="6"/>
  <c r="AG50" i="6"/>
  <c r="AF50" i="6"/>
  <c r="AE50" i="6"/>
  <c r="AD50" i="6"/>
  <c r="Y50" i="6"/>
  <c r="X50" i="6"/>
  <c r="W50" i="6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B50" i="6"/>
  <c r="A50" i="6"/>
  <c r="AG49" i="6"/>
  <c r="AF49" i="6"/>
  <c r="AE49" i="6"/>
  <c r="AD49" i="6"/>
  <c r="Y49" i="6"/>
  <c r="X49" i="6"/>
  <c r="W49" i="6"/>
  <c r="V49" i="6"/>
  <c r="U49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F49" i="6"/>
  <c r="E49" i="6"/>
  <c r="D49" i="6"/>
  <c r="C49" i="6"/>
  <c r="B49" i="6"/>
  <c r="A49" i="6"/>
  <c r="AG48" i="6"/>
  <c r="AF48" i="6"/>
  <c r="AE48" i="6"/>
  <c r="AD48" i="6"/>
  <c r="Y48" i="6"/>
  <c r="X48" i="6"/>
  <c r="W48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C48" i="6"/>
  <c r="B48" i="6"/>
  <c r="A48" i="6"/>
  <c r="AG47" i="6"/>
  <c r="AF47" i="6"/>
  <c r="AE47" i="6"/>
  <c r="AD47" i="6"/>
  <c r="Y47" i="6"/>
  <c r="X47" i="6"/>
  <c r="W47" i="6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D47" i="6"/>
  <c r="C47" i="6"/>
  <c r="B47" i="6"/>
  <c r="A47" i="6"/>
  <c r="AG46" i="6"/>
  <c r="AF46" i="6"/>
  <c r="AE46" i="6"/>
  <c r="AD46" i="6"/>
  <c r="Y46" i="6"/>
  <c r="X46" i="6"/>
  <c r="W46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D46" i="6"/>
  <c r="C46" i="6"/>
  <c r="B46" i="6"/>
  <c r="A46" i="6"/>
  <c r="AU45" i="6"/>
  <c r="AT45" i="6"/>
  <c r="AG45" i="6"/>
  <c r="AF45" i="6"/>
  <c r="AE45" i="6"/>
  <c r="AD45" i="6"/>
  <c r="Y45" i="6"/>
  <c r="X45" i="6"/>
  <c r="W45" i="6"/>
  <c r="V45" i="6"/>
  <c r="U45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E45" i="6"/>
  <c r="D45" i="6"/>
  <c r="C45" i="6"/>
  <c r="B45" i="6"/>
  <c r="A45" i="6"/>
  <c r="AG44" i="6"/>
  <c r="AF44" i="6"/>
  <c r="AE44" i="6"/>
  <c r="AD44" i="6"/>
  <c r="Y44" i="6"/>
  <c r="X44" i="6"/>
  <c r="W44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D44" i="6"/>
  <c r="C44" i="6"/>
  <c r="B44" i="6"/>
  <c r="A44" i="6"/>
  <c r="AG43" i="6"/>
  <c r="AF43" i="6"/>
  <c r="AE43" i="6"/>
  <c r="AD43" i="6"/>
  <c r="Y43" i="6"/>
  <c r="X43" i="6"/>
  <c r="W43" i="6"/>
  <c r="V43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D43" i="6"/>
  <c r="C43" i="6"/>
  <c r="B43" i="6"/>
  <c r="A43" i="6"/>
  <c r="AV42" i="6"/>
  <c r="AU42" i="6"/>
  <c r="AT42" i="6"/>
  <c r="AS42" i="6"/>
  <c r="AG42" i="6"/>
  <c r="AF42" i="6"/>
  <c r="AE42" i="6"/>
  <c r="AD42" i="6"/>
  <c r="Y42" i="6"/>
  <c r="X42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B42" i="6"/>
  <c r="A42" i="6"/>
  <c r="AV41" i="6"/>
  <c r="AU41" i="6"/>
  <c r="AT41" i="6"/>
  <c r="AS41" i="6"/>
  <c r="AG41" i="6"/>
  <c r="AF41" i="6"/>
  <c r="AE41" i="6"/>
  <c r="AD41" i="6"/>
  <c r="Y41" i="6"/>
  <c r="X41" i="6"/>
  <c r="W41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C41" i="6"/>
  <c r="B41" i="6"/>
  <c r="A41" i="6"/>
  <c r="AV40" i="6"/>
  <c r="AU40" i="6"/>
  <c r="AT40" i="6"/>
  <c r="AS40" i="6"/>
  <c r="AG40" i="6"/>
  <c r="AF40" i="6"/>
  <c r="AE40" i="6"/>
  <c r="AD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B40" i="6"/>
  <c r="A40" i="6"/>
  <c r="AV39" i="6"/>
  <c r="AU39" i="6"/>
  <c r="AT39" i="6"/>
  <c r="AS39" i="6"/>
  <c r="AG39" i="6"/>
  <c r="AF39" i="6"/>
  <c r="AE39" i="6"/>
  <c r="AD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B39" i="6"/>
  <c r="A39" i="6"/>
  <c r="AV38" i="6"/>
  <c r="AU38" i="6"/>
  <c r="AT38" i="6"/>
  <c r="AS38" i="6"/>
  <c r="AN38" i="6"/>
  <c r="AM38" i="6"/>
  <c r="AL38" i="6"/>
  <c r="AG38" i="6"/>
  <c r="AF38" i="6"/>
  <c r="AE38" i="6"/>
  <c r="AD38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B38" i="6"/>
  <c r="A38" i="6"/>
  <c r="BD37" i="6"/>
  <c r="BC37" i="6"/>
  <c r="BB37" i="6"/>
  <c r="BA37" i="6"/>
  <c r="AV37" i="6"/>
  <c r="AU37" i="6"/>
  <c r="AT37" i="6"/>
  <c r="AS37" i="6"/>
  <c r="AN37" i="6"/>
  <c r="AM37" i="6"/>
  <c r="AL37" i="6"/>
  <c r="AG37" i="6"/>
  <c r="AF37" i="6"/>
  <c r="AE37" i="6"/>
  <c r="AD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B37" i="6"/>
  <c r="A37" i="6"/>
  <c r="BD36" i="6"/>
  <c r="BC36" i="6"/>
  <c r="BB36" i="6"/>
  <c r="BA36" i="6"/>
  <c r="AV36" i="6"/>
  <c r="AU36" i="6"/>
  <c r="AT36" i="6"/>
  <c r="AS36" i="6"/>
  <c r="AN36" i="6"/>
  <c r="AM36" i="6"/>
  <c r="AL36" i="6"/>
  <c r="AG36" i="6"/>
  <c r="AF36" i="6"/>
  <c r="AE36" i="6"/>
  <c r="AD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B36" i="6"/>
  <c r="A36" i="6"/>
  <c r="BD35" i="6"/>
  <c r="BC35" i="6"/>
  <c r="BB35" i="6"/>
  <c r="BA35" i="6"/>
  <c r="AV35" i="6"/>
  <c r="AU35" i="6"/>
  <c r="AT35" i="6"/>
  <c r="AS35" i="6"/>
  <c r="AN35" i="6"/>
  <c r="AM35" i="6"/>
  <c r="AL35" i="6"/>
  <c r="AG35" i="6"/>
  <c r="AF35" i="6"/>
  <c r="AE35" i="6"/>
  <c r="AD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B35" i="6"/>
  <c r="A35" i="6"/>
  <c r="BD34" i="6"/>
  <c r="BC34" i="6"/>
  <c r="BB34" i="6"/>
  <c r="BA34" i="6"/>
  <c r="AV34" i="6"/>
  <c r="AU34" i="6"/>
  <c r="AT34" i="6"/>
  <c r="AS34" i="6"/>
  <c r="AN34" i="6"/>
  <c r="AM34" i="6"/>
  <c r="AL34" i="6"/>
  <c r="AG34" i="6"/>
  <c r="AF34" i="6"/>
  <c r="AE34" i="6"/>
  <c r="AD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B34" i="6"/>
  <c r="A34" i="6"/>
  <c r="BD33" i="6"/>
  <c r="BC33" i="6"/>
  <c r="BB33" i="6"/>
  <c r="BA33" i="6"/>
  <c r="AV33" i="6"/>
  <c r="AU33" i="6"/>
  <c r="AT33" i="6"/>
  <c r="AS33" i="6"/>
  <c r="AN33" i="6"/>
  <c r="AM33" i="6"/>
  <c r="AL33" i="6"/>
  <c r="AG33" i="6"/>
  <c r="AF33" i="6"/>
  <c r="AE33" i="6"/>
  <c r="AD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B33" i="6"/>
  <c r="A33" i="6"/>
  <c r="BD32" i="6"/>
  <c r="BC32" i="6"/>
  <c r="BB32" i="6"/>
  <c r="BA32" i="6"/>
  <c r="AV32" i="6"/>
  <c r="AU32" i="6"/>
  <c r="AT32" i="6"/>
  <c r="AS32" i="6"/>
  <c r="AN32" i="6"/>
  <c r="AM32" i="6"/>
  <c r="AL32" i="6"/>
  <c r="AG32" i="6"/>
  <c r="AF32" i="6"/>
  <c r="AE32" i="6"/>
  <c r="AD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B32" i="6"/>
  <c r="A32" i="6"/>
  <c r="BJ31" i="6"/>
  <c r="BI31" i="6"/>
  <c r="BH31" i="6"/>
  <c r="BG31" i="6"/>
  <c r="BF31" i="6"/>
  <c r="BE31" i="6"/>
  <c r="BD31" i="6"/>
  <c r="BC31" i="6"/>
  <c r="BB31" i="6"/>
  <c r="BA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B31" i="6"/>
  <c r="A31" i="6"/>
  <c r="BH30" i="6"/>
  <c r="BE30" i="6"/>
  <c r="BD30" i="6"/>
  <c r="BC30" i="6"/>
  <c r="BB30" i="6"/>
  <c r="BA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B30" i="6"/>
  <c r="A30" i="6"/>
  <c r="BD29" i="6"/>
  <c r="BC29" i="6"/>
  <c r="BB29" i="6"/>
  <c r="BA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B29" i="6"/>
  <c r="A29" i="6"/>
  <c r="BJ28" i="6"/>
  <c r="BI28" i="6"/>
  <c r="BH28" i="6"/>
  <c r="BG28" i="6"/>
  <c r="BF28" i="6"/>
  <c r="BE28" i="6"/>
  <c r="BD28" i="6"/>
  <c r="BC28" i="6"/>
  <c r="BB28" i="6"/>
  <c r="BA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B28" i="6"/>
  <c r="A28" i="6"/>
  <c r="BH27" i="6"/>
  <c r="BE27" i="6"/>
  <c r="BD27" i="6"/>
  <c r="BC27" i="6"/>
  <c r="BB27" i="6"/>
  <c r="BA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C27" i="6"/>
  <c r="B27" i="6"/>
  <c r="A27" i="6"/>
  <c r="BD26" i="6"/>
  <c r="BC26" i="6"/>
  <c r="BB26" i="6"/>
  <c r="BA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B26" i="6"/>
  <c r="A26" i="6"/>
  <c r="BJ25" i="6"/>
  <c r="BI25" i="6"/>
  <c r="BH25" i="6"/>
  <c r="BG25" i="6"/>
  <c r="BF25" i="6"/>
  <c r="BE25" i="6"/>
  <c r="BD25" i="6"/>
  <c r="BC25" i="6"/>
  <c r="BB25" i="6"/>
  <c r="BA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B25" i="6"/>
  <c r="A25" i="6"/>
  <c r="BH24" i="6"/>
  <c r="BE24" i="6"/>
  <c r="BD24" i="6"/>
  <c r="BC24" i="6"/>
  <c r="BB24" i="6"/>
  <c r="BA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C24" i="6"/>
  <c r="B24" i="6"/>
  <c r="A24" i="6"/>
  <c r="BD23" i="6"/>
  <c r="BC23" i="6"/>
  <c r="BB23" i="6"/>
  <c r="BA23" i="6"/>
  <c r="AV23" i="6"/>
  <c r="AU23" i="6"/>
  <c r="AT23" i="6"/>
  <c r="AS23" i="6"/>
  <c r="AR23" i="6"/>
  <c r="AQ23" i="6"/>
  <c r="AP23" i="6"/>
  <c r="AO23" i="6"/>
  <c r="AN23" i="6"/>
  <c r="AM23" i="6"/>
  <c r="AL23" i="6"/>
  <c r="AK23" i="6"/>
  <c r="AJ23" i="6"/>
  <c r="AI23" i="6"/>
  <c r="AH23" i="6"/>
  <c r="AG23" i="6"/>
  <c r="AF23" i="6"/>
  <c r="AE23" i="6"/>
  <c r="AD23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B23" i="6"/>
  <c r="A23" i="6"/>
  <c r="BJ22" i="6"/>
  <c r="BI22" i="6"/>
  <c r="BH22" i="6"/>
  <c r="BG22" i="6"/>
  <c r="BF22" i="6"/>
  <c r="BE22" i="6"/>
  <c r="BD22" i="6"/>
  <c r="BC22" i="6"/>
  <c r="BB22" i="6"/>
  <c r="BA22" i="6"/>
  <c r="AV22" i="6"/>
  <c r="AU22" i="6"/>
  <c r="AT22" i="6"/>
  <c r="AS22" i="6"/>
  <c r="AR22" i="6"/>
  <c r="AQ22" i="6"/>
  <c r="AP22" i="6"/>
  <c r="AO22" i="6"/>
  <c r="AN22" i="6"/>
  <c r="AM22" i="6"/>
  <c r="AL22" i="6"/>
  <c r="AK22" i="6"/>
  <c r="AJ22" i="6"/>
  <c r="AI22" i="6"/>
  <c r="AH22" i="6"/>
  <c r="AG22" i="6"/>
  <c r="AF22" i="6"/>
  <c r="AE22" i="6"/>
  <c r="AD22" i="6"/>
  <c r="AC22" i="6"/>
  <c r="AB22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A22" i="6"/>
  <c r="BH21" i="6"/>
  <c r="BE21" i="6"/>
  <c r="BD21" i="6"/>
  <c r="BC21" i="6"/>
  <c r="BB21" i="6"/>
  <c r="BA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A21" i="6"/>
  <c r="BD20" i="6"/>
  <c r="BC20" i="6"/>
  <c r="BB20" i="6"/>
  <c r="BA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A20" i="6"/>
  <c r="BJ19" i="6"/>
  <c r="BI19" i="6"/>
  <c r="BH19" i="6"/>
  <c r="BG19" i="6"/>
  <c r="BF19" i="6"/>
  <c r="BE19" i="6"/>
  <c r="BD19" i="6"/>
  <c r="BC19" i="6"/>
  <c r="BB19" i="6"/>
  <c r="BA19" i="6"/>
  <c r="AV19" i="6"/>
  <c r="AU19" i="6"/>
  <c r="AT19" i="6"/>
  <c r="AS19" i="6"/>
  <c r="AR19" i="6"/>
  <c r="AQ19" i="6"/>
  <c r="AP19" i="6"/>
  <c r="AO19" i="6"/>
  <c r="AN19" i="6"/>
  <c r="AM19" i="6"/>
  <c r="AL19" i="6"/>
  <c r="AK19" i="6"/>
  <c r="AJ19" i="6"/>
  <c r="AI19" i="6"/>
  <c r="AH19" i="6"/>
  <c r="AG19" i="6"/>
  <c r="AF19" i="6"/>
  <c r="AE19" i="6"/>
  <c r="AD19" i="6"/>
  <c r="AC19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A19" i="6"/>
  <c r="BJ18" i="6"/>
  <c r="BI18" i="6"/>
  <c r="BH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A18" i="6"/>
  <c r="BH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B17" i="6"/>
  <c r="A17" i="6"/>
  <c r="BG16" i="6"/>
  <c r="BF16" i="6"/>
  <c r="BE16" i="6"/>
  <c r="BD16" i="6"/>
  <c r="BC16" i="6"/>
  <c r="BB16" i="6"/>
  <c r="BA16" i="6"/>
  <c r="AZ16" i="6"/>
  <c r="AY16" i="6"/>
  <c r="AX16" i="6"/>
  <c r="AW16" i="6"/>
  <c r="AV16" i="6"/>
  <c r="AU16" i="6"/>
  <c r="AT16" i="6"/>
  <c r="AS16" i="6"/>
  <c r="AR16" i="6"/>
  <c r="AQ16" i="6"/>
  <c r="AP16" i="6"/>
  <c r="AO16" i="6"/>
  <c r="AN16" i="6"/>
  <c r="AM16" i="6"/>
  <c r="AL16" i="6"/>
  <c r="AK16" i="6"/>
  <c r="AJ16" i="6"/>
  <c r="AI16" i="6"/>
  <c r="AH16" i="6"/>
  <c r="AG16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A16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A15" i="6"/>
  <c r="BJ14" i="6"/>
  <c r="BI14" i="6"/>
  <c r="BH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A14" i="6"/>
  <c r="BH13" i="6"/>
  <c r="BD13" i="6"/>
  <c r="BC13" i="6"/>
  <c r="BB13" i="6"/>
  <c r="BA13" i="6"/>
  <c r="AZ13" i="6"/>
  <c r="AY13" i="6"/>
  <c r="AX13" i="6"/>
  <c r="AW13" i="6"/>
  <c r="AV13" i="6"/>
  <c r="AU13" i="6"/>
  <c r="AT13" i="6"/>
  <c r="AS13" i="6"/>
  <c r="AR13" i="6"/>
  <c r="AQ13" i="6"/>
  <c r="AP13" i="6"/>
  <c r="AO13" i="6"/>
  <c r="AN13" i="6"/>
  <c r="AM13" i="6"/>
  <c r="AL13" i="6"/>
  <c r="AK13" i="6"/>
  <c r="AJ13" i="6"/>
  <c r="AI13" i="6"/>
  <c r="AH13" i="6"/>
  <c r="AG13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B13" i="6"/>
  <c r="A13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A12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A11" i="6"/>
  <c r="BJ10" i="6"/>
  <c r="BI10" i="6"/>
  <c r="BH10" i="6"/>
  <c r="BE10" i="6"/>
  <c r="BD10" i="6"/>
  <c r="BC10" i="6"/>
  <c r="BB10" i="6"/>
  <c r="BA10" i="6"/>
  <c r="AZ10" i="6"/>
  <c r="AY10" i="6"/>
  <c r="AX10" i="6"/>
  <c r="AW10" i="6"/>
  <c r="AV10" i="6"/>
  <c r="AU10" i="6"/>
  <c r="AT10" i="6"/>
  <c r="AS10" i="6"/>
  <c r="AR10" i="6"/>
  <c r="AQ10" i="6"/>
  <c r="AP10" i="6"/>
  <c r="AO10" i="6"/>
  <c r="AN10" i="6"/>
  <c r="AM10" i="6"/>
  <c r="AL10" i="6"/>
  <c r="AK10" i="6"/>
  <c r="AJ10" i="6"/>
  <c r="AI10" i="6"/>
  <c r="AH10" i="6"/>
  <c r="AG10" i="6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B10" i="6"/>
  <c r="A10" i="6"/>
  <c r="BH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B9" i="6"/>
  <c r="A9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B8" i="6"/>
  <c r="A8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B7" i="6"/>
  <c r="A7" i="6"/>
  <c r="BJ6" i="6"/>
  <c r="BI6" i="6"/>
  <c r="BH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  <c r="B6" i="6"/>
  <c r="A6" i="6"/>
  <c r="BJ5" i="6"/>
  <c r="BI5" i="6"/>
  <c r="BD5" i="6"/>
  <c r="BC5" i="6"/>
  <c r="BB5" i="6"/>
  <c r="BA5" i="6"/>
  <c r="AZ5" i="6"/>
  <c r="AY5" i="6"/>
  <c r="AX5" i="6"/>
  <c r="AW5" i="6"/>
  <c r="AV5" i="6"/>
  <c r="AU5" i="6"/>
  <c r="AT5" i="6"/>
  <c r="AS5" i="6"/>
  <c r="AR5" i="6"/>
  <c r="AQ5" i="6"/>
  <c r="AP5" i="6"/>
  <c r="AO5" i="6"/>
  <c r="AN5" i="6"/>
  <c r="AM5" i="6"/>
  <c r="AL5" i="6"/>
  <c r="AK5" i="6"/>
  <c r="AJ5" i="6"/>
  <c r="AI5" i="6"/>
  <c r="AH5" i="6"/>
  <c r="AG5" i="6"/>
  <c r="AF5" i="6"/>
  <c r="AE5" i="6"/>
  <c r="AD5" i="6"/>
  <c r="AC5" i="6"/>
  <c r="AB5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C5" i="6"/>
  <c r="B5" i="6"/>
  <c r="A5" i="6"/>
  <c r="BJ4" i="6"/>
  <c r="BI4" i="6"/>
  <c r="BH4" i="6"/>
  <c r="BG4" i="6"/>
  <c r="BF4" i="6"/>
  <c r="BE4" i="6"/>
  <c r="BD4" i="6"/>
  <c r="BC4" i="6"/>
  <c r="BB4" i="6"/>
  <c r="BA4" i="6"/>
  <c r="AZ4" i="6"/>
  <c r="AY4" i="6"/>
  <c r="AX4" i="6"/>
  <c r="AW4" i="6"/>
  <c r="AV4" i="6"/>
  <c r="AU4" i="6"/>
  <c r="AT4" i="6"/>
  <c r="AS4" i="6"/>
  <c r="AR4" i="6"/>
  <c r="AQ4" i="6"/>
  <c r="AP4" i="6"/>
  <c r="AO4" i="6"/>
  <c r="AN4" i="6"/>
  <c r="AM4" i="6"/>
  <c r="AL4" i="6"/>
  <c r="AK4" i="6"/>
  <c r="AJ4" i="6"/>
  <c r="AI4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C4" i="6"/>
  <c r="B4" i="6"/>
  <c r="A4" i="6"/>
  <c r="BJ3" i="6"/>
  <c r="BI3" i="6"/>
  <c r="BH3" i="6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3" i="6"/>
  <c r="C3" i="6"/>
  <c r="B3" i="6"/>
  <c r="A3" i="6"/>
  <c r="BH2" i="6"/>
  <c r="BE2" i="6"/>
  <c r="BD2" i="6"/>
  <c r="BC2" i="6"/>
  <c r="BB2" i="6"/>
  <c r="BA2" i="6"/>
  <c r="AZ2" i="6"/>
  <c r="AY2" i="6"/>
  <c r="AX2" i="6"/>
  <c r="AW2" i="6"/>
  <c r="AV2" i="6"/>
  <c r="AU2" i="6"/>
  <c r="AT2" i="6"/>
  <c r="AS2" i="6"/>
  <c r="AR2" i="6"/>
  <c r="AQ2" i="6"/>
  <c r="AP2" i="6"/>
  <c r="AO2" i="6"/>
  <c r="AN2" i="6"/>
  <c r="AM2" i="6"/>
  <c r="AL2" i="6"/>
  <c r="AK2" i="6"/>
  <c r="AJ2" i="6"/>
  <c r="AI2" i="6"/>
  <c r="AH2" i="6"/>
  <c r="AG2" i="6"/>
  <c r="AF2" i="6"/>
  <c r="AE2" i="6"/>
  <c r="AD2" i="6"/>
  <c r="AC2" i="6"/>
  <c r="AB2" i="6"/>
  <c r="AA2" i="6"/>
  <c r="Z2" i="6"/>
  <c r="Y2" i="6"/>
  <c r="X2" i="6"/>
  <c r="W2" i="6"/>
  <c r="V2" i="6"/>
  <c r="U2" i="6"/>
  <c r="T2" i="6"/>
  <c r="S2" i="6"/>
  <c r="R2" i="6"/>
  <c r="Q2" i="6"/>
  <c r="P2" i="6"/>
  <c r="O2" i="6"/>
  <c r="N2" i="6"/>
  <c r="M2" i="6"/>
  <c r="L2" i="6"/>
  <c r="K2" i="6"/>
  <c r="J2" i="6"/>
  <c r="I2" i="6"/>
  <c r="H2" i="6"/>
  <c r="G2" i="6"/>
  <c r="F2" i="6"/>
  <c r="E2" i="6"/>
  <c r="D2" i="6"/>
  <c r="C2" i="6"/>
  <c r="B2" i="6"/>
  <c r="A2" i="6"/>
  <c r="BH1" i="6"/>
  <c r="BE1" i="6"/>
  <c r="BA1" i="6"/>
  <c r="AW1" i="6"/>
  <c r="AS1" i="6"/>
  <c r="AO1" i="6"/>
  <c r="AL1" i="6"/>
  <c r="AH1" i="6"/>
  <c r="AD1" i="6"/>
  <c r="Z1" i="6"/>
  <c r="Y1" i="6"/>
  <c r="X1" i="6"/>
  <c r="V1" i="6"/>
  <c r="T1" i="6"/>
  <c r="S1" i="6"/>
  <c r="Q1" i="6"/>
  <c r="O1" i="6"/>
  <c r="N1" i="6"/>
  <c r="L1" i="6"/>
  <c r="J1" i="6"/>
  <c r="I1" i="6"/>
  <c r="G1" i="6"/>
  <c r="E1" i="6"/>
  <c r="D1" i="6"/>
  <c r="B1" i="6"/>
  <c r="A1" i="6"/>
</calcChain>
</file>

<file path=xl/sharedStrings.xml><?xml version="1.0" encoding="utf-8"?>
<sst xmlns="http://schemas.openxmlformats.org/spreadsheetml/2006/main" count="1458" uniqueCount="567">
  <si>
    <t>Club</t>
  </si>
  <si>
    <t>Position</t>
  </si>
  <si>
    <t>Name</t>
  </si>
  <si>
    <t>Category</t>
  </si>
  <si>
    <t>Time</t>
  </si>
  <si>
    <t>Aidan Brown</t>
  </si>
  <si>
    <t>M40</t>
  </si>
  <si>
    <t>Newcastle &amp; District AC</t>
  </si>
  <si>
    <t>David McNeilly</t>
  </si>
  <si>
    <t>Garry Morrow</t>
  </si>
  <si>
    <t>M35</t>
  </si>
  <si>
    <t>Willowfield Harriers</t>
  </si>
  <si>
    <t>Ciaran McKendry</t>
  </si>
  <si>
    <t>Annadale Striders</t>
  </si>
  <si>
    <t>Colin Roberts</t>
  </si>
  <si>
    <t>M50</t>
  </si>
  <si>
    <t>City of Derry AC Spartans</t>
  </si>
  <si>
    <t>Paul Carroll</t>
  </si>
  <si>
    <t>Kieran Scullion</t>
  </si>
  <si>
    <t>Ballymena Runners</t>
  </si>
  <si>
    <t>Neil Curran</t>
  </si>
  <si>
    <t>M45</t>
  </si>
  <si>
    <t>East Down AC</t>
  </si>
  <si>
    <t>Aron Cole</t>
  </si>
  <si>
    <t>Foyle Valley AC</t>
  </si>
  <si>
    <t>Tony Stanley</t>
  </si>
  <si>
    <t>Beechmount Harriers</t>
  </si>
  <si>
    <t>Oliver Cook</t>
  </si>
  <si>
    <t>PACE Running Club</t>
  </si>
  <si>
    <t>Niall O'Gorman</t>
  </si>
  <si>
    <t>Stephen Jamison</t>
  </si>
  <si>
    <t>Michael Kelly</t>
  </si>
  <si>
    <t>Armagh AC</t>
  </si>
  <si>
    <t>Neil Carty</t>
  </si>
  <si>
    <t>M55</t>
  </si>
  <si>
    <t>North Belfast Harriers</t>
  </si>
  <si>
    <t>John Nicholson</t>
  </si>
  <si>
    <t>John Neill</t>
  </si>
  <si>
    <t>East Antrim Harriers</t>
  </si>
  <si>
    <t>Ricky McKnight</t>
  </si>
  <si>
    <t>Nick Irvine</t>
  </si>
  <si>
    <t>North Down AC</t>
  </si>
  <si>
    <t>Kevin Oboyle</t>
  </si>
  <si>
    <t>Glens Runners</t>
  </si>
  <si>
    <t>Stephen Hoey</t>
  </si>
  <si>
    <t>Jog Lisburn Running Club</t>
  </si>
  <si>
    <t>Gareth Blair</t>
  </si>
  <si>
    <t>David Turtle</t>
  </si>
  <si>
    <t>Ronan Healy</t>
  </si>
  <si>
    <t>Foyle Valley</t>
  </si>
  <si>
    <t>Evan Evans</t>
  </si>
  <si>
    <t>Dromore AC</t>
  </si>
  <si>
    <t>David Massey</t>
  </si>
  <si>
    <t>Vincent McCaffrey</t>
  </si>
  <si>
    <t>Billy Reed</t>
  </si>
  <si>
    <t>Conor McMullan</t>
  </si>
  <si>
    <t>Simon Boyle</t>
  </si>
  <si>
    <t>Stephen McCullough</t>
  </si>
  <si>
    <t>David Curran</t>
  </si>
  <si>
    <t>David Morgan</t>
  </si>
  <si>
    <t>Martin Willcox</t>
  </si>
  <si>
    <t>Peter Scott</t>
  </si>
  <si>
    <t>Scrabo Striders</t>
  </si>
  <si>
    <t>Philip Murdock</t>
  </si>
  <si>
    <t>Mark McMahon</t>
  </si>
  <si>
    <t>Dee Murray</t>
  </si>
  <si>
    <t>Michael Boyd</t>
  </si>
  <si>
    <t>Pawel Lapinski</t>
  </si>
  <si>
    <t>Laurence Johnston</t>
  </si>
  <si>
    <t>M60</t>
  </si>
  <si>
    <t>Jonathan Holmes</t>
  </si>
  <si>
    <t>Patrick McAuley</t>
  </si>
  <si>
    <t>Paul Smith</t>
  </si>
  <si>
    <t>Road Runners Club</t>
  </si>
  <si>
    <t>Andrew Willis</t>
  </si>
  <si>
    <t>Marc Wilson</t>
  </si>
  <si>
    <t>Norman Mawhinney</t>
  </si>
  <si>
    <t>Mark Shields</t>
  </si>
  <si>
    <t>Belfast Running Club</t>
  </si>
  <si>
    <t>Philip Mulligan</t>
  </si>
  <si>
    <t>Gerry O Doherty</t>
  </si>
  <si>
    <t>M65</t>
  </si>
  <si>
    <t>Ian Bailey</t>
  </si>
  <si>
    <t>Lagan Valley AC</t>
  </si>
  <si>
    <t>George Ferguson</t>
  </si>
  <si>
    <t>Alan Lockington</t>
  </si>
  <si>
    <t>Larne AC</t>
  </si>
  <si>
    <t>Paul O'Kane</t>
  </si>
  <si>
    <t>PACE RC</t>
  </si>
  <si>
    <t>Jim Finlay</t>
  </si>
  <si>
    <t>Philip Brines</t>
  </si>
  <si>
    <t>Richard Edwards</t>
  </si>
  <si>
    <t>James Murphy</t>
  </si>
  <si>
    <t>Enniskillen Running Club</t>
  </si>
  <si>
    <t>Chris Gilbert</t>
  </si>
  <si>
    <t>Cormac Bradley</t>
  </si>
  <si>
    <t>Gerard Adair</t>
  </si>
  <si>
    <t>Joe Gallagher</t>
  </si>
  <si>
    <t>Mark O'Connor</t>
  </si>
  <si>
    <t>Karl Dines</t>
  </si>
  <si>
    <t>Andrew Johnston</t>
  </si>
  <si>
    <t>Declan Hassan</t>
  </si>
  <si>
    <t>Chris Callaghan</t>
  </si>
  <si>
    <t>Ken Dougan</t>
  </si>
  <si>
    <t>Eric Montgomery</t>
  </si>
  <si>
    <t>Brian Stewart</t>
  </si>
  <si>
    <t>M70</t>
  </si>
  <si>
    <t>Colin Watson</t>
  </si>
  <si>
    <t>Pat Rocks</t>
  </si>
  <si>
    <t>Newry City Runners AC</t>
  </si>
  <si>
    <t>Dom Dorris</t>
  </si>
  <si>
    <t>AthleticsNI Unattached</t>
  </si>
  <si>
    <t>Wilson McAlister</t>
  </si>
  <si>
    <t>Jog Moira</t>
  </si>
  <si>
    <t>Ernest Hall</t>
  </si>
  <si>
    <t>Raymond Cameron</t>
  </si>
  <si>
    <t>Trevor Wilson</t>
  </si>
  <si>
    <t>Martin Rimmer</t>
  </si>
  <si>
    <t>Brian Todd</t>
  </si>
  <si>
    <t>Orangegrove AC</t>
  </si>
  <si>
    <t>Wayne Giles</t>
  </si>
  <si>
    <t>Robert Davidson</t>
  </si>
  <si>
    <t>Saintfield Striders</t>
  </si>
  <si>
    <t>Alan Kerr</t>
  </si>
  <si>
    <t>Mallusk Harriers</t>
  </si>
  <si>
    <t>Steven Pearson</t>
  </si>
  <si>
    <t>Noah Watt</t>
  </si>
  <si>
    <t>U13B</t>
  </si>
  <si>
    <t>Rory Armstrong</t>
  </si>
  <si>
    <t>Alexander Robinson</t>
  </si>
  <si>
    <t>Olivia McCusker</t>
  </si>
  <si>
    <t>U13G</t>
  </si>
  <si>
    <t>Loughview AC</t>
  </si>
  <si>
    <t>Bailey Duncan</t>
  </si>
  <si>
    <t>Michael McGowan</t>
  </si>
  <si>
    <t>St Michael's Enniskillen</t>
  </si>
  <si>
    <t>Cormac Leheny</t>
  </si>
  <si>
    <t>Cormac Ratchford</t>
  </si>
  <si>
    <t>Katie Keown</t>
  </si>
  <si>
    <t>Alex Downey</t>
  </si>
  <si>
    <t>Emmet Smith</t>
  </si>
  <si>
    <t>Ballymena and Antrim AC</t>
  </si>
  <si>
    <t>Lucia Steen</t>
  </si>
  <si>
    <t>City of Lisburn Athletics Club</t>
  </si>
  <si>
    <t>Uilleac Fitzpatrick</t>
  </si>
  <si>
    <t>Deivs Tarvids</t>
  </si>
  <si>
    <t>Diarmuid Rasdale</t>
  </si>
  <si>
    <t>Charlie Leckey</t>
  </si>
  <si>
    <t>Alex Reid</t>
  </si>
  <si>
    <t>Adam Forster</t>
  </si>
  <si>
    <t>Pauric Fegan</t>
  </si>
  <si>
    <t>Benjamin Challis</t>
  </si>
  <si>
    <t>Ollie Hanna</t>
  </si>
  <si>
    <t>Isla Wiltshire</t>
  </si>
  <si>
    <t>Ruarcc Sheridan</t>
  </si>
  <si>
    <t>Frances Elliott</t>
  </si>
  <si>
    <t>Gosforth Harriers AC</t>
  </si>
  <si>
    <t>Cecily Park</t>
  </si>
  <si>
    <t>Nathan Coyle</t>
  </si>
  <si>
    <t>Holly Heron</t>
  </si>
  <si>
    <t>Senan McConnell</t>
  </si>
  <si>
    <t>Jessica McCartan</t>
  </si>
  <si>
    <t>Jack Crilly</t>
  </si>
  <si>
    <t>Ava Doran</t>
  </si>
  <si>
    <t>Patrick Toal</t>
  </si>
  <si>
    <t>Dualta McGleenan</t>
  </si>
  <si>
    <t>Erin Easton</t>
  </si>
  <si>
    <t>Paul Cox</t>
  </si>
  <si>
    <t>Luke Braniff</t>
  </si>
  <si>
    <t>Emma Flynn</t>
  </si>
  <si>
    <t>Beth Heron</t>
  </si>
  <si>
    <t>Nicholas Boyd</t>
  </si>
  <si>
    <t>Cormac Cox</t>
  </si>
  <si>
    <t>Matthew Fleming</t>
  </si>
  <si>
    <t>Ethan Lappin</t>
  </si>
  <si>
    <t>Erin Han</t>
  </si>
  <si>
    <t>Mollie Sherrard</t>
  </si>
  <si>
    <t>Cliona McGinley</t>
  </si>
  <si>
    <t>Emily Murphy</t>
  </si>
  <si>
    <t>Ben McAleer</t>
  </si>
  <si>
    <t>Matthew McKernan</t>
  </si>
  <si>
    <t>Freddie Ferguson</t>
  </si>
  <si>
    <t>Meabh Smith</t>
  </si>
  <si>
    <t>Thomas Hendron</t>
  </si>
  <si>
    <t>Fin Óg McCrystal</t>
  </si>
  <si>
    <t>Holly Scott</t>
  </si>
  <si>
    <t>Willow Farrington</t>
  </si>
  <si>
    <t>Dáire O'Gorman</t>
  </si>
  <si>
    <t>Hollie Norris</t>
  </si>
  <si>
    <t>Isabella Haylett</t>
  </si>
  <si>
    <t>Eva Coey</t>
  </si>
  <si>
    <t>Leon Moore</t>
  </si>
  <si>
    <t>Kelsey Murray</t>
  </si>
  <si>
    <t>Sinead Ohare</t>
  </si>
  <si>
    <t>Katy Hendron</t>
  </si>
  <si>
    <t>Niamh Lemon</t>
  </si>
  <si>
    <t>Rebecca Rossiter</t>
  </si>
  <si>
    <t>FO</t>
  </si>
  <si>
    <t>Kerry O'Flaherty</t>
  </si>
  <si>
    <t>F40</t>
  </si>
  <si>
    <t>Sarah Lavery</t>
  </si>
  <si>
    <t>Aine Gosling</t>
  </si>
  <si>
    <t>Danielle Fegan</t>
  </si>
  <si>
    <t>Joanne Mills</t>
  </si>
  <si>
    <t>Eimear Fitzpatrick</t>
  </si>
  <si>
    <t>DCH</t>
  </si>
  <si>
    <t>Helen Lavery</t>
  </si>
  <si>
    <t>Angeline McShane</t>
  </si>
  <si>
    <t>City of Derry Spartans AC</t>
  </si>
  <si>
    <t>Fiona McQuillan</t>
  </si>
  <si>
    <t>F35</t>
  </si>
  <si>
    <t>Kathryn Rafferty</t>
  </si>
  <si>
    <t>Paula Worthington</t>
  </si>
  <si>
    <t>Debbie McConnell</t>
  </si>
  <si>
    <t>Catherine Diver</t>
  </si>
  <si>
    <t>Caitriona Edington</t>
  </si>
  <si>
    <t>Queen's University</t>
  </si>
  <si>
    <t>Amanda Perry</t>
  </si>
  <si>
    <t>F45</t>
  </si>
  <si>
    <t>Ballydrain Harriers</t>
  </si>
  <si>
    <t>Clair Quigley</t>
  </si>
  <si>
    <t>Karen Wilton</t>
  </si>
  <si>
    <t>Mari Higgins</t>
  </si>
  <si>
    <t>Jenny Finlay</t>
  </si>
  <si>
    <t>Jacqueline Wright</t>
  </si>
  <si>
    <t>Christine Nugent</t>
  </si>
  <si>
    <t>Oonagh Haughey</t>
  </si>
  <si>
    <t>Kate Semple</t>
  </si>
  <si>
    <t>Acorns AC</t>
  </si>
  <si>
    <t>Geraldine Quigley</t>
  </si>
  <si>
    <t>Mary Slocum</t>
  </si>
  <si>
    <t>F55</t>
  </si>
  <si>
    <t>Wardparkrunners</t>
  </si>
  <si>
    <t>Judith Worthington</t>
  </si>
  <si>
    <t>Shileen O'Kane</t>
  </si>
  <si>
    <t>F50</t>
  </si>
  <si>
    <t>Fionnuala O'Hare</t>
  </si>
  <si>
    <t>Una McConnell</t>
  </si>
  <si>
    <t>Christina McConnell</t>
  </si>
  <si>
    <t>Moira Leheny</t>
  </si>
  <si>
    <t>Niamh O'Connell</t>
  </si>
  <si>
    <t>Murlough AC</t>
  </si>
  <si>
    <t>Jillian Redpath</t>
  </si>
  <si>
    <t>Maria Dunlop</t>
  </si>
  <si>
    <t>Lindsay Doulton</t>
  </si>
  <si>
    <t>Victoria McCartney</t>
  </si>
  <si>
    <t>Amanda Jackson</t>
  </si>
  <si>
    <t>Khara Edgar</t>
  </si>
  <si>
    <t>Valerie McDonough</t>
  </si>
  <si>
    <t>Hayley McAteer</t>
  </si>
  <si>
    <t>Lagan Valley XC</t>
  </si>
  <si>
    <t>Carol McAdam</t>
  </si>
  <si>
    <t>Kate Bradley</t>
  </si>
  <si>
    <t>Lagen Valley AC</t>
  </si>
  <si>
    <t>Julie Wilson</t>
  </si>
  <si>
    <t>Naomi Hutchinson</t>
  </si>
  <si>
    <t>Hazel McLoughlin</t>
  </si>
  <si>
    <t>Claire Scott</t>
  </si>
  <si>
    <t>Patricia Brown</t>
  </si>
  <si>
    <t>F60</t>
  </si>
  <si>
    <t>Newry City Runners</t>
  </si>
  <si>
    <t>Emma Glynn</t>
  </si>
  <si>
    <t>Sinead Scullion</t>
  </si>
  <si>
    <t>Eileen Jack</t>
  </si>
  <si>
    <t>Jill Bruce</t>
  </si>
  <si>
    <t>Lorraine O'Neill</t>
  </si>
  <si>
    <t>Gillian Stevens</t>
  </si>
  <si>
    <t>Wendy Findlay</t>
  </si>
  <si>
    <t>Helen McCartan</t>
  </si>
  <si>
    <t>Celine Doran</t>
  </si>
  <si>
    <t>Patricia Shields</t>
  </si>
  <si>
    <t>Katy Dunn</t>
  </si>
  <si>
    <t>Aideen Hanna</t>
  </si>
  <si>
    <t>Diane McKee</t>
  </si>
  <si>
    <t>Denise Doherty</t>
  </si>
  <si>
    <t>Alexandra McLaughlin</t>
  </si>
  <si>
    <t>County Antrim Harriers</t>
  </si>
  <si>
    <t>Kathryn Aiken</t>
  </si>
  <si>
    <t>Sarah Benton</t>
  </si>
  <si>
    <t>Roisin McAleer</t>
  </si>
  <si>
    <t>Elizabeth Watt</t>
  </si>
  <si>
    <t>Victoria Park &amp; Connswater Ac</t>
  </si>
  <si>
    <t>Aoife Harte</t>
  </si>
  <si>
    <t>Glynis Boyle</t>
  </si>
  <si>
    <t>Emma Stevenson</t>
  </si>
  <si>
    <t>Megan Rodgers</t>
  </si>
  <si>
    <t>Barbara McKechnie</t>
  </si>
  <si>
    <t>Debbie Wells</t>
  </si>
  <si>
    <t>Karen McWilliams</t>
  </si>
  <si>
    <t>Nicola White</t>
  </si>
  <si>
    <t>Andrea Thompson</t>
  </si>
  <si>
    <t>Heather Watson</t>
  </si>
  <si>
    <t>Jenny Taylor</t>
  </si>
  <si>
    <t>Sarah O'Kane</t>
  </si>
  <si>
    <t>Ciara Hardy</t>
  </si>
  <si>
    <t>Kim McDonald</t>
  </si>
  <si>
    <t>Roisin Blue</t>
  </si>
  <si>
    <t>Karen Gibson</t>
  </si>
  <si>
    <t>Pamela McCafferty</t>
  </si>
  <si>
    <t>Amanda Martin</t>
  </si>
  <si>
    <t>Fiona McAvoy</t>
  </si>
  <si>
    <t>Paula Gray</t>
  </si>
  <si>
    <t>Suzanne Dickey</t>
  </si>
  <si>
    <t>Roisin Gaffney</t>
  </si>
  <si>
    <t>Alison Busby</t>
  </si>
  <si>
    <t>Clare Rimmer</t>
  </si>
  <si>
    <t>Karen McClean</t>
  </si>
  <si>
    <t>Tracy McCaughey</t>
  </si>
  <si>
    <t>Alison Carroll</t>
  </si>
  <si>
    <t>Anne McClurg</t>
  </si>
  <si>
    <t>Andrea Mockford</t>
  </si>
  <si>
    <t>Helen Baird</t>
  </si>
  <si>
    <t>Joanne Curran</t>
  </si>
  <si>
    <t>Verity Cornford</t>
  </si>
  <si>
    <t>Alison Symington</t>
  </si>
  <si>
    <t>Dawn Ross</t>
  </si>
  <si>
    <t>Lynda Martin</t>
  </si>
  <si>
    <t>Denise Davison</t>
  </si>
  <si>
    <t>Debra Jordan</t>
  </si>
  <si>
    <t>Donna Baker</t>
  </si>
  <si>
    <t>Joanne Moran</t>
  </si>
  <si>
    <t>Irene Downey</t>
  </si>
  <si>
    <t>Paula Simpson</t>
  </si>
  <si>
    <t>Martina Finn</t>
  </si>
  <si>
    <t>Liz Turton</t>
  </si>
  <si>
    <t>NIMAA</t>
  </si>
  <si>
    <t>Chloe Reed</t>
  </si>
  <si>
    <t>Paula McKibbin</t>
  </si>
  <si>
    <t>Karen Wilson</t>
  </si>
  <si>
    <t>Clare McIlveen</t>
  </si>
  <si>
    <t>Catherine Seawright</t>
  </si>
  <si>
    <t>Julie-May Noteman</t>
  </si>
  <si>
    <t>Elaine Weston</t>
  </si>
  <si>
    <t>Faye Rice</t>
  </si>
  <si>
    <t>Judith McCann</t>
  </si>
  <si>
    <t>Alison Henderson</t>
  </si>
  <si>
    <t>Margaret Beattie</t>
  </si>
  <si>
    <t>Tara Findlay</t>
  </si>
  <si>
    <t>Elaine Bates</t>
  </si>
  <si>
    <t>Christina Crilly</t>
  </si>
  <si>
    <t>Clare McLogan</t>
  </si>
  <si>
    <t>Catherine McIntyre</t>
  </si>
  <si>
    <t>Jane Holland</t>
  </si>
  <si>
    <t>Wendy Purdon</t>
  </si>
  <si>
    <t>Brigid Quinn</t>
  </si>
  <si>
    <t>F75</t>
  </si>
  <si>
    <t>Janice Scott</t>
  </si>
  <si>
    <t>Wendy Forsythe</t>
  </si>
  <si>
    <t>F70</t>
  </si>
  <si>
    <t>Philomena Donaldson</t>
  </si>
  <si>
    <t>Emma Newell</t>
  </si>
  <si>
    <t>Linda Dugan</t>
  </si>
  <si>
    <t>Gemma Fowler</t>
  </si>
  <si>
    <t>Hannah Hope</t>
  </si>
  <si>
    <t>Ciarán Cullen</t>
  </si>
  <si>
    <t>U17B</t>
  </si>
  <si>
    <t>Oliver Robinson</t>
  </si>
  <si>
    <t>Conor Moran</t>
  </si>
  <si>
    <t>Mid Ulster AC</t>
  </si>
  <si>
    <t>Noah Kavanagh</t>
  </si>
  <si>
    <t>Tiarnan McManus</t>
  </si>
  <si>
    <t>U15B</t>
  </si>
  <si>
    <t>Luke McCausland</t>
  </si>
  <si>
    <t>City of Lisburn AC</t>
  </si>
  <si>
    <t>Patrick Sprice</t>
  </si>
  <si>
    <t>Damiel Curran</t>
  </si>
  <si>
    <t>Cillian Sprice</t>
  </si>
  <si>
    <t>Jamie Morris</t>
  </si>
  <si>
    <t>James Kelly</t>
  </si>
  <si>
    <t>Matthew Murphy</t>
  </si>
  <si>
    <t>Isa McCarron</t>
  </si>
  <si>
    <t>U15G</t>
  </si>
  <si>
    <t>Josh Hamill</t>
  </si>
  <si>
    <t>Daniel Doherty</t>
  </si>
  <si>
    <t>Rudy Mayne</t>
  </si>
  <si>
    <t>Alice Monaghan</t>
  </si>
  <si>
    <t>U17G</t>
  </si>
  <si>
    <t>Jacob Crawford</t>
  </si>
  <si>
    <t>Ashton Cusick</t>
  </si>
  <si>
    <t>Conall Rasdale</t>
  </si>
  <si>
    <t>Aisling Smith</t>
  </si>
  <si>
    <t>Ballymena &amp; Antrim AC</t>
  </si>
  <si>
    <t>Ben Proctor</t>
  </si>
  <si>
    <t>Lily Rimmer</t>
  </si>
  <si>
    <t>Euan Monro</t>
  </si>
  <si>
    <t>Tom Mc Mahon</t>
  </si>
  <si>
    <t>Jude McGann</t>
  </si>
  <si>
    <t>Aaron Lennon</t>
  </si>
  <si>
    <t>Conor Adair</t>
  </si>
  <si>
    <t>Hazel Hughes</t>
  </si>
  <si>
    <t>Shercock AC</t>
  </si>
  <si>
    <t>Cora Scullion</t>
  </si>
  <si>
    <t>Omagh Harriers</t>
  </si>
  <si>
    <t>Leo McAleer</t>
  </si>
  <si>
    <t>Holly Collins</t>
  </si>
  <si>
    <t>Adam Cox</t>
  </si>
  <si>
    <t>Maxwell Murphy</t>
  </si>
  <si>
    <t>Hugh McKenna</t>
  </si>
  <si>
    <t>Caide McLaren</t>
  </si>
  <si>
    <t>Oisin Donohoe</t>
  </si>
  <si>
    <t>Jack Crudden</t>
  </si>
  <si>
    <t>Thea Cunningham</t>
  </si>
  <si>
    <t>Cillian Whitford</t>
  </si>
  <si>
    <t>Darcy Monaghan</t>
  </si>
  <si>
    <t>Lewis Maguire</t>
  </si>
  <si>
    <t>Mannix Moore</t>
  </si>
  <si>
    <t>Ronan Gilbride</t>
  </si>
  <si>
    <t>Lorcan Hanna</t>
  </si>
  <si>
    <t>Katie McCleery</t>
  </si>
  <si>
    <t>Lauren Taylor</t>
  </si>
  <si>
    <t>Conor Ferguson</t>
  </si>
  <si>
    <t>Ryan Hegarty</t>
  </si>
  <si>
    <t>Emmet Mc Gurn</t>
  </si>
  <si>
    <t>Ronan Prunty</t>
  </si>
  <si>
    <t>Ciara Savage</t>
  </si>
  <si>
    <t>Amy Evans</t>
  </si>
  <si>
    <t>Rónán Jones</t>
  </si>
  <si>
    <t>Carys Bell</t>
  </si>
  <si>
    <t>Conor Mullen</t>
  </si>
  <si>
    <t>Charlotte Evans</t>
  </si>
  <si>
    <t>Treasa McConnell</t>
  </si>
  <si>
    <t>Amy McCartan</t>
  </si>
  <si>
    <t>Blathnald Loughran</t>
  </si>
  <si>
    <t>Lucy Magreehan</t>
  </si>
  <si>
    <t>Anna Moran</t>
  </si>
  <si>
    <t>Emily Barry</t>
  </si>
  <si>
    <t>Riley Hannah</t>
  </si>
  <si>
    <t>Anna O'Kane</t>
  </si>
  <si>
    <t>Aoibheann O'Gorman</t>
  </si>
  <si>
    <t>Rebekah Wilson</t>
  </si>
  <si>
    <t>Hannah Milligan</t>
  </si>
  <si>
    <t>Erin Olivia Moore</t>
  </si>
  <si>
    <t>Lucy Reynolds</t>
  </si>
  <si>
    <t>Hannah Morris</t>
  </si>
  <si>
    <t>Anna Bittles</t>
  </si>
  <si>
    <t>Poppy Ferguson</t>
  </si>
  <si>
    <t>Finn Loughlin</t>
  </si>
  <si>
    <t>Eskander Turki</t>
  </si>
  <si>
    <t>MO</t>
  </si>
  <si>
    <t>Ben Branagh</t>
  </si>
  <si>
    <t>St.Malachy's AC</t>
  </si>
  <si>
    <t>Adam Kirk-Smith</t>
  </si>
  <si>
    <t>Derry Track Club</t>
  </si>
  <si>
    <t>Stephen Connolly</t>
  </si>
  <si>
    <t>Gavin McCaffrey</t>
  </si>
  <si>
    <t>Owen Carleton</t>
  </si>
  <si>
    <t>Mark McKinstry</t>
  </si>
  <si>
    <t>James Hamilton</t>
  </si>
  <si>
    <t>Fionntan Campbell</t>
  </si>
  <si>
    <t>MJ</t>
  </si>
  <si>
    <t>Jamie Coulter-Smyth</t>
  </si>
  <si>
    <t>Lawrence O'Hara</t>
  </si>
  <si>
    <t>Cameron Stewart</t>
  </si>
  <si>
    <t>Conal McCambridge</t>
  </si>
  <si>
    <t>Christopher Neill</t>
  </si>
  <si>
    <t>Jake Stafford</t>
  </si>
  <si>
    <t>Oisin Cassidy</t>
  </si>
  <si>
    <t>Michael McKillop</t>
  </si>
  <si>
    <t>James Budde</t>
  </si>
  <si>
    <t>Lochlainn Connolly</t>
  </si>
  <si>
    <t>Adrian McGowan</t>
  </si>
  <si>
    <t>Gareth Watton</t>
  </si>
  <si>
    <t>Dale Murray</t>
  </si>
  <si>
    <t>Daniel Molloy</t>
  </si>
  <si>
    <t>Dennis Scott</t>
  </si>
  <si>
    <t>Ed Cooke</t>
  </si>
  <si>
    <t>Matthew Carville</t>
  </si>
  <si>
    <t>Russell Hughes</t>
  </si>
  <si>
    <t>Nhial Tuy Tuy</t>
  </si>
  <si>
    <t>Andrew McIntyre</t>
  </si>
  <si>
    <t>Matthew McCombe</t>
  </si>
  <si>
    <t>Stephen Butters</t>
  </si>
  <si>
    <t>Adam Hilditch</t>
  </si>
  <si>
    <t>Ashley Dixon</t>
  </si>
  <si>
    <t>David Rutherford</t>
  </si>
  <si>
    <t>Chris Anderson</t>
  </si>
  <si>
    <t>Brendan McCambridge</t>
  </si>
  <si>
    <t>Roger Aiken</t>
  </si>
  <si>
    <t>Stephen Morris</t>
  </si>
  <si>
    <t>Matthew Devlin</t>
  </si>
  <si>
    <t>Steven Donegan</t>
  </si>
  <si>
    <t>Chris Moran</t>
  </si>
  <si>
    <t>Chris Drysdale</t>
  </si>
  <si>
    <t>Stephen Lunn</t>
  </si>
  <si>
    <t>Paul Flynn</t>
  </si>
  <si>
    <t>Neill Weir</t>
  </si>
  <si>
    <t>Stuart Wilson</t>
  </si>
  <si>
    <t>Victoria Park &amp; Connswater AC</t>
  </si>
  <si>
    <t>Mark Weir</t>
  </si>
  <si>
    <t>Chris Sloan</t>
  </si>
  <si>
    <t>Simon Reeve</t>
  </si>
  <si>
    <t>William Brown</t>
  </si>
  <si>
    <t>Jack Burns</t>
  </si>
  <si>
    <t>Peter Reed</t>
  </si>
  <si>
    <t>Darren Irwin</t>
  </si>
  <si>
    <t>Andrew Bates</t>
  </si>
  <si>
    <t>Colin Bell</t>
  </si>
  <si>
    <t>Roy Roulston</t>
  </si>
  <si>
    <t>Harry Miller</t>
  </si>
  <si>
    <t>Aaron McAuley</t>
  </si>
  <si>
    <t>Dan McCurdy</t>
  </si>
  <si>
    <t>Daryl Sempey</t>
  </si>
  <si>
    <t>Barry Logue</t>
  </si>
  <si>
    <t>Calum Irvine</t>
  </si>
  <si>
    <t>Kevin Donnelly</t>
  </si>
  <si>
    <t>Kyle Arbuthnot</t>
  </si>
  <si>
    <t>John Hasson</t>
  </si>
  <si>
    <t>Dainis Tarvids</t>
  </si>
  <si>
    <t>Cameron Faulkner</t>
  </si>
  <si>
    <t>Brian Bogle</t>
  </si>
  <si>
    <t>Luke Wallace</t>
  </si>
  <si>
    <t>Michael McAuley</t>
  </si>
  <si>
    <t>Chris Rafferty</t>
  </si>
  <si>
    <t>Sean Terrek</t>
  </si>
  <si>
    <t>Jonny Carson</t>
  </si>
  <si>
    <t>Robert Powell</t>
  </si>
  <si>
    <t>Cathal McLeod</t>
  </si>
  <si>
    <t>Colin McClements</t>
  </si>
  <si>
    <t>Matthew Ward</t>
  </si>
  <si>
    <t>Ciaran Sloan</t>
  </si>
  <si>
    <t>Graeme McGowan</t>
  </si>
  <si>
    <t>Nathan Lilly</t>
  </si>
  <si>
    <t>Graham Hill</t>
  </si>
  <si>
    <t>Gary Long</t>
  </si>
  <si>
    <t>Rory Morrow</t>
  </si>
  <si>
    <t>Aaron Ansfield</t>
  </si>
  <si>
    <t>Gary Cull</t>
  </si>
  <si>
    <t>Michael Megaw</t>
  </si>
  <si>
    <t>Stephen Gallagher</t>
  </si>
  <si>
    <t>Chris Reid</t>
  </si>
  <si>
    <t>Alan Erwin</t>
  </si>
  <si>
    <t>Robin Montgomery</t>
  </si>
  <si>
    <t>Gary Rea</t>
  </si>
  <si>
    <t>Simon Cordoba</t>
  </si>
  <si>
    <t>Michael O'Donoghue</t>
  </si>
  <si>
    <t>Ryan Nugent</t>
  </si>
  <si>
    <t>Robert Beattie</t>
  </si>
  <si>
    <t>Jonny Kinney</t>
  </si>
  <si>
    <t>Gary Arbuthnot</t>
  </si>
  <si>
    <t>Kevin Hawkins</t>
  </si>
  <si>
    <t>peninsula triathlon club</t>
  </si>
  <si>
    <t>Chris Woods</t>
  </si>
  <si>
    <t>Ghislain Demeuldre</t>
  </si>
  <si>
    <t>James Ashdown</t>
  </si>
  <si>
    <t>Oliver Murphy</t>
  </si>
  <si>
    <t>Adam Morgan</t>
  </si>
  <si>
    <t>Neill Dickson</t>
  </si>
  <si>
    <t>Sean Devlin</t>
  </si>
  <si>
    <t>Nigel Davidson</t>
  </si>
  <si>
    <t>Niall Armstrong</t>
  </si>
  <si>
    <t>Gerry Anderson</t>
  </si>
  <si>
    <t>David Hurst</t>
  </si>
  <si>
    <t>Richard Moore</t>
  </si>
  <si>
    <t>Dave Fulcher</t>
  </si>
  <si>
    <t>James Lyons</t>
  </si>
  <si>
    <t>Peter Briggs</t>
  </si>
  <si>
    <t>Chris Cleary</t>
  </si>
  <si>
    <t>Lyle Carleton</t>
  </si>
  <si>
    <t>Will Blaney</t>
  </si>
  <si>
    <t>John McGarvey</t>
  </si>
  <si>
    <t>Paul Magee</t>
  </si>
  <si>
    <t>Robbie Speers</t>
  </si>
  <si>
    <t>Malcolm Cup (approximately 4 miles)</t>
  </si>
  <si>
    <t>Under 15/17 Girls &amp; Boys (approximately 2 miles)</t>
  </si>
  <si>
    <t xml:space="preserve">Women (including Masters Women) (approximately 3 miles) </t>
  </si>
  <si>
    <t>Under 13 Girls &amp; Boys (approximately 1 mile)</t>
  </si>
  <si>
    <t xml:space="preserve">Masters Men (approximately 3 miles)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</si>
</sst>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</font>
    <font>
      <sz val="10"/>
      <color theme="1"/>
      <name val="Arial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/>
    <xf numFmtId="20" fontId="1" fillId="0" borderId="0" xfId="0" applyNumberFormat="1" applyFont="1"/>
    <xf numFmtId="45" fontId="1" fillId="0" borderId="0" xfId="0" applyNumberFormat="1" applyFont="1"/>
    <xf numFmtId="45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/>
    <xf numFmtId="45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F7C67-8027-4388-AAD0-488989196812}">
  <dimension ref="A1:E85"/>
  <sheetViews>
    <sheetView workbookViewId="0">
      <selection activeCell="G22" sqref="G22"/>
    </sheetView>
  </sheetViews>
  <sheetFormatPr defaultRowHeight="13.2" x14ac:dyDescent="0.25"/>
  <cols>
    <col min="1" max="1" width="8.88671875" style="5"/>
    <col min="2" max="2" width="17.88671875" bestFit="1" customWidth="1"/>
    <col min="3" max="3" width="8.88671875" style="5"/>
    <col min="4" max="4" width="22.77734375" bestFit="1" customWidth="1"/>
    <col min="5" max="5" width="12" style="4" bestFit="1" customWidth="1"/>
  </cols>
  <sheetData>
    <row r="1" spans="1:5" x14ac:dyDescent="0.25">
      <c r="A1" s="6"/>
      <c r="B1" s="7" t="s">
        <v>566</v>
      </c>
      <c r="C1" s="6"/>
      <c r="D1" s="7"/>
      <c r="E1" s="8"/>
    </row>
    <row r="2" spans="1:5" x14ac:dyDescent="0.25">
      <c r="A2" s="6" t="s">
        <v>1</v>
      </c>
      <c r="B2" s="7" t="s">
        <v>2</v>
      </c>
      <c r="C2" s="6" t="s">
        <v>3</v>
      </c>
      <c r="D2" s="7" t="s">
        <v>0</v>
      </c>
      <c r="E2" s="8" t="s">
        <v>4</v>
      </c>
    </row>
    <row r="3" spans="1:5" x14ac:dyDescent="0.25">
      <c r="A3" s="5">
        <v>1</v>
      </c>
      <c r="B3" t="s">
        <v>5</v>
      </c>
      <c r="C3" s="5" t="s">
        <v>6</v>
      </c>
      <c r="D3" t="s">
        <v>7</v>
      </c>
      <c r="E3" s="4">
        <v>1.16319444444444E-2</v>
      </c>
    </row>
    <row r="4" spans="1:5" x14ac:dyDescent="0.25">
      <c r="A4" s="5">
        <v>2</v>
      </c>
      <c r="B4" t="s">
        <v>8</v>
      </c>
      <c r="C4" s="5" t="s">
        <v>6</v>
      </c>
      <c r="D4" t="s">
        <v>7</v>
      </c>
      <c r="E4" s="4">
        <v>1.16550925925925E-2</v>
      </c>
    </row>
    <row r="5" spans="1:5" x14ac:dyDescent="0.25">
      <c r="A5" s="5">
        <v>3</v>
      </c>
      <c r="B5" t="s">
        <v>9</v>
      </c>
      <c r="C5" s="5" t="s">
        <v>10</v>
      </c>
      <c r="D5" t="s">
        <v>11</v>
      </c>
      <c r="E5" s="4">
        <v>1.1747685185185101E-2</v>
      </c>
    </row>
    <row r="6" spans="1:5" x14ac:dyDescent="0.25">
      <c r="A6" s="5">
        <v>4</v>
      </c>
      <c r="B6" t="s">
        <v>12</v>
      </c>
      <c r="C6" s="5" t="s">
        <v>6</v>
      </c>
      <c r="D6" t="s">
        <v>13</v>
      </c>
      <c r="E6" s="4">
        <v>1.1851851851851799E-2</v>
      </c>
    </row>
    <row r="7" spans="1:5" x14ac:dyDescent="0.25">
      <c r="A7" s="5">
        <v>5</v>
      </c>
      <c r="B7" t="s">
        <v>14</v>
      </c>
      <c r="C7" s="5" t="s">
        <v>15</v>
      </c>
      <c r="D7" t="s">
        <v>16</v>
      </c>
      <c r="E7" s="4">
        <v>1.19675925925925E-2</v>
      </c>
    </row>
    <row r="8" spans="1:5" x14ac:dyDescent="0.25">
      <c r="A8" s="5">
        <v>6</v>
      </c>
      <c r="B8" t="s">
        <v>17</v>
      </c>
      <c r="C8" s="5" t="s">
        <v>15</v>
      </c>
      <c r="D8" t="s">
        <v>13</v>
      </c>
      <c r="E8" s="4">
        <v>1.19675925925925E-2</v>
      </c>
    </row>
    <row r="9" spans="1:5" x14ac:dyDescent="0.25">
      <c r="A9" s="5">
        <v>7</v>
      </c>
      <c r="B9" t="s">
        <v>18</v>
      </c>
      <c r="C9" s="5" t="s">
        <v>6</v>
      </c>
      <c r="D9" t="s">
        <v>19</v>
      </c>
      <c r="E9" s="4">
        <v>1.19791666666666E-2</v>
      </c>
    </row>
    <row r="10" spans="1:5" x14ac:dyDescent="0.25">
      <c r="A10" s="5">
        <v>8</v>
      </c>
      <c r="B10" t="s">
        <v>20</v>
      </c>
      <c r="C10" s="5" t="s">
        <v>21</v>
      </c>
      <c r="D10" t="s">
        <v>22</v>
      </c>
      <c r="E10" s="4">
        <v>1.2002314814814801E-2</v>
      </c>
    </row>
    <row r="11" spans="1:5" x14ac:dyDescent="0.25">
      <c r="A11" s="5">
        <v>9</v>
      </c>
      <c r="B11" t="s">
        <v>23</v>
      </c>
      <c r="C11" s="5" t="s">
        <v>21</v>
      </c>
      <c r="D11" t="s">
        <v>24</v>
      </c>
      <c r="E11" s="4">
        <v>1.21180555555555E-2</v>
      </c>
    </row>
    <row r="12" spans="1:5" x14ac:dyDescent="0.25">
      <c r="A12" s="5">
        <v>10</v>
      </c>
      <c r="B12" t="s">
        <v>25</v>
      </c>
      <c r="C12" s="5" t="s">
        <v>21</v>
      </c>
      <c r="D12" t="s">
        <v>26</v>
      </c>
      <c r="E12" s="4">
        <v>1.2175925925925901E-2</v>
      </c>
    </row>
    <row r="13" spans="1:5" x14ac:dyDescent="0.25">
      <c r="A13" s="5">
        <v>11</v>
      </c>
      <c r="B13" t="s">
        <v>27</v>
      </c>
      <c r="C13" s="5" t="s">
        <v>10</v>
      </c>
      <c r="D13" t="s">
        <v>28</v>
      </c>
      <c r="E13" s="4">
        <v>1.2210648148148101E-2</v>
      </c>
    </row>
    <row r="14" spans="1:5" x14ac:dyDescent="0.25">
      <c r="A14" s="5">
        <v>12</v>
      </c>
      <c r="B14" t="s">
        <v>29</v>
      </c>
      <c r="C14" s="5" t="s">
        <v>15</v>
      </c>
      <c r="D14" t="s">
        <v>13</v>
      </c>
      <c r="E14" s="4">
        <v>1.23263888888888E-2</v>
      </c>
    </row>
    <row r="15" spans="1:5" x14ac:dyDescent="0.25">
      <c r="A15" s="5">
        <v>13</v>
      </c>
      <c r="B15" t="s">
        <v>30</v>
      </c>
      <c r="C15" s="5" t="s">
        <v>6</v>
      </c>
      <c r="D15" t="s">
        <v>16</v>
      </c>
      <c r="E15" s="4">
        <v>1.2349537037036999E-2</v>
      </c>
    </row>
    <row r="16" spans="1:5" x14ac:dyDescent="0.25">
      <c r="A16" s="5">
        <v>14</v>
      </c>
      <c r="B16" t="s">
        <v>31</v>
      </c>
      <c r="C16" s="5" t="s">
        <v>21</v>
      </c>
      <c r="D16" t="s">
        <v>32</v>
      </c>
      <c r="E16" s="4">
        <v>1.2361111111111101E-2</v>
      </c>
    </row>
    <row r="17" spans="1:5" x14ac:dyDescent="0.25">
      <c r="A17" s="5">
        <v>15</v>
      </c>
      <c r="B17" t="s">
        <v>33</v>
      </c>
      <c r="C17" s="5" t="s">
        <v>34</v>
      </c>
      <c r="D17" t="s">
        <v>35</v>
      </c>
      <c r="E17" s="4">
        <v>1.2384259259259201E-2</v>
      </c>
    </row>
    <row r="18" spans="1:5" x14ac:dyDescent="0.25">
      <c r="A18" s="5">
        <v>16</v>
      </c>
      <c r="B18" t="s">
        <v>36</v>
      </c>
      <c r="C18" s="5" t="s">
        <v>21</v>
      </c>
      <c r="D18" t="s">
        <v>19</v>
      </c>
      <c r="E18" s="4">
        <v>1.2418981481481401E-2</v>
      </c>
    </row>
    <row r="19" spans="1:5" x14ac:dyDescent="0.25">
      <c r="A19" s="5">
        <v>17</v>
      </c>
      <c r="B19" t="s">
        <v>37</v>
      </c>
      <c r="C19" s="5" t="s">
        <v>21</v>
      </c>
      <c r="D19" t="s">
        <v>38</v>
      </c>
      <c r="E19" s="4">
        <v>1.2511574074074E-2</v>
      </c>
    </row>
    <row r="20" spans="1:5" x14ac:dyDescent="0.25">
      <c r="A20" s="5">
        <v>18</v>
      </c>
      <c r="B20" t="s">
        <v>39</v>
      </c>
      <c r="C20" s="5" t="s">
        <v>6</v>
      </c>
      <c r="D20" t="s">
        <v>28</v>
      </c>
      <c r="E20" s="4">
        <v>1.2534722222222201E-2</v>
      </c>
    </row>
    <row r="21" spans="1:5" x14ac:dyDescent="0.25">
      <c r="A21" s="5">
        <v>19</v>
      </c>
      <c r="B21" t="s">
        <v>40</v>
      </c>
      <c r="C21" s="5" t="s">
        <v>6</v>
      </c>
      <c r="D21" t="s">
        <v>41</v>
      </c>
      <c r="E21" s="4">
        <v>1.25462962962962E-2</v>
      </c>
    </row>
    <row r="22" spans="1:5" x14ac:dyDescent="0.25">
      <c r="A22" s="5">
        <v>20</v>
      </c>
      <c r="B22" t="s">
        <v>42</v>
      </c>
      <c r="C22" s="5" t="s">
        <v>6</v>
      </c>
      <c r="D22" t="s">
        <v>43</v>
      </c>
      <c r="E22" s="4">
        <v>1.2662037037036999E-2</v>
      </c>
    </row>
    <row r="23" spans="1:5" x14ac:dyDescent="0.25">
      <c r="A23" s="5">
        <v>21</v>
      </c>
      <c r="B23" t="s">
        <v>44</v>
      </c>
      <c r="C23" s="5" t="s">
        <v>15</v>
      </c>
      <c r="D23" t="s">
        <v>45</v>
      </c>
      <c r="E23" s="4">
        <v>1.2731481481481399E-2</v>
      </c>
    </row>
    <row r="24" spans="1:5" x14ac:dyDescent="0.25">
      <c r="A24" s="5">
        <v>22</v>
      </c>
      <c r="B24" t="s">
        <v>46</v>
      </c>
      <c r="C24" s="5" t="s">
        <v>21</v>
      </c>
      <c r="D24" t="s">
        <v>38</v>
      </c>
      <c r="E24" s="4">
        <v>1.28356481481481E-2</v>
      </c>
    </row>
    <row r="25" spans="1:5" x14ac:dyDescent="0.25">
      <c r="A25" s="5">
        <v>23</v>
      </c>
      <c r="B25" t="s">
        <v>47</v>
      </c>
      <c r="C25" s="5" t="s">
        <v>6</v>
      </c>
      <c r="D25" t="s">
        <v>38</v>
      </c>
      <c r="E25" s="4">
        <v>1.2847222222222201E-2</v>
      </c>
    </row>
    <row r="26" spans="1:5" x14ac:dyDescent="0.25">
      <c r="A26" s="5">
        <v>24</v>
      </c>
      <c r="B26" t="s">
        <v>48</v>
      </c>
      <c r="C26" s="5" t="s">
        <v>15</v>
      </c>
      <c r="D26" t="s">
        <v>49</v>
      </c>
      <c r="E26" s="4">
        <v>1.28587962962962E-2</v>
      </c>
    </row>
    <row r="27" spans="1:5" x14ac:dyDescent="0.25">
      <c r="A27" s="5">
        <v>25</v>
      </c>
      <c r="B27" t="s">
        <v>50</v>
      </c>
      <c r="C27" s="5" t="s">
        <v>10</v>
      </c>
      <c r="D27" t="s">
        <v>51</v>
      </c>
      <c r="E27" s="4">
        <v>1.2870370370370299E-2</v>
      </c>
    </row>
    <row r="28" spans="1:5" x14ac:dyDescent="0.25">
      <c r="A28" s="5">
        <v>26</v>
      </c>
      <c r="B28" t="s">
        <v>52</v>
      </c>
      <c r="C28" s="5" t="s">
        <v>21</v>
      </c>
      <c r="D28" t="s">
        <v>41</v>
      </c>
      <c r="E28" s="4">
        <v>1.28935185185185E-2</v>
      </c>
    </row>
    <row r="29" spans="1:5" x14ac:dyDescent="0.25">
      <c r="A29" s="5">
        <v>27</v>
      </c>
      <c r="B29" t="s">
        <v>53</v>
      </c>
      <c r="C29" s="5" t="s">
        <v>34</v>
      </c>
      <c r="D29" t="s">
        <v>28</v>
      </c>
      <c r="E29" s="4">
        <v>1.2905092592592499E-2</v>
      </c>
    </row>
    <row r="30" spans="1:5" x14ac:dyDescent="0.25">
      <c r="A30" s="5">
        <v>28</v>
      </c>
      <c r="B30" t="s">
        <v>54</v>
      </c>
      <c r="C30" s="5" t="s">
        <v>34</v>
      </c>
      <c r="D30" t="s">
        <v>38</v>
      </c>
      <c r="E30" s="4">
        <v>1.2916666666666601E-2</v>
      </c>
    </row>
    <row r="31" spans="1:5" x14ac:dyDescent="0.25">
      <c r="A31" s="5">
        <v>29</v>
      </c>
      <c r="B31" t="s">
        <v>55</v>
      </c>
      <c r="C31" s="5" t="s">
        <v>21</v>
      </c>
      <c r="D31" t="s">
        <v>13</v>
      </c>
      <c r="E31" s="4">
        <v>1.29398148148148E-2</v>
      </c>
    </row>
    <row r="32" spans="1:5" x14ac:dyDescent="0.25">
      <c r="A32" s="5">
        <v>30</v>
      </c>
      <c r="B32" t="s">
        <v>56</v>
      </c>
      <c r="C32" s="5" t="s">
        <v>34</v>
      </c>
      <c r="D32" t="s">
        <v>41</v>
      </c>
      <c r="E32" s="4">
        <v>1.29629629629629E-2</v>
      </c>
    </row>
    <row r="33" spans="1:5" x14ac:dyDescent="0.25">
      <c r="A33" s="5">
        <v>31</v>
      </c>
      <c r="B33" t="s">
        <v>57</v>
      </c>
      <c r="C33" s="5" t="s">
        <v>6</v>
      </c>
      <c r="D33" t="s">
        <v>45</v>
      </c>
      <c r="E33" s="4">
        <v>1.2986111111111099E-2</v>
      </c>
    </row>
    <row r="34" spans="1:5" x14ac:dyDescent="0.25">
      <c r="A34" s="5">
        <v>32</v>
      </c>
      <c r="B34" t="s">
        <v>58</v>
      </c>
      <c r="C34" s="5" t="s">
        <v>15</v>
      </c>
      <c r="D34" t="s">
        <v>35</v>
      </c>
      <c r="E34" s="4">
        <v>1.29976851851851E-2</v>
      </c>
    </row>
    <row r="35" spans="1:5" x14ac:dyDescent="0.25">
      <c r="A35" s="5">
        <v>33</v>
      </c>
      <c r="B35" t="s">
        <v>59</v>
      </c>
      <c r="C35" s="5" t="s">
        <v>6</v>
      </c>
      <c r="D35" t="s">
        <v>13</v>
      </c>
      <c r="E35" s="4">
        <v>1.30092592592592E-2</v>
      </c>
    </row>
    <row r="36" spans="1:5" x14ac:dyDescent="0.25">
      <c r="A36" s="5">
        <v>34</v>
      </c>
      <c r="B36" t="s">
        <v>60</v>
      </c>
      <c r="C36" s="5" t="s">
        <v>15</v>
      </c>
      <c r="D36" t="s">
        <v>22</v>
      </c>
      <c r="E36" s="4">
        <v>1.30671296296296E-2</v>
      </c>
    </row>
    <row r="37" spans="1:5" x14ac:dyDescent="0.25">
      <c r="A37" s="5">
        <v>35</v>
      </c>
      <c r="B37" t="s">
        <v>61</v>
      </c>
      <c r="C37" s="5" t="s">
        <v>6</v>
      </c>
      <c r="D37" t="s">
        <v>62</v>
      </c>
      <c r="E37" s="4">
        <v>1.31134259259259E-2</v>
      </c>
    </row>
    <row r="38" spans="1:5" x14ac:dyDescent="0.25">
      <c r="A38" s="5">
        <v>36</v>
      </c>
      <c r="B38" t="s">
        <v>63</v>
      </c>
      <c r="C38" s="5" t="s">
        <v>15</v>
      </c>
      <c r="D38" t="s">
        <v>7</v>
      </c>
      <c r="E38" s="4">
        <v>1.3206018518518501E-2</v>
      </c>
    </row>
    <row r="39" spans="1:5" x14ac:dyDescent="0.25">
      <c r="A39" s="5">
        <v>37</v>
      </c>
      <c r="B39" t="s">
        <v>64</v>
      </c>
      <c r="C39" s="5" t="s">
        <v>6</v>
      </c>
      <c r="D39" t="s">
        <v>26</v>
      </c>
      <c r="E39" s="4">
        <v>1.3229166666666599E-2</v>
      </c>
    </row>
    <row r="40" spans="1:5" x14ac:dyDescent="0.25">
      <c r="A40" s="5">
        <v>38</v>
      </c>
      <c r="B40" t="s">
        <v>65</v>
      </c>
      <c r="C40" s="5" t="s">
        <v>15</v>
      </c>
      <c r="D40" t="s">
        <v>22</v>
      </c>
      <c r="E40" s="4">
        <v>1.3263888888888801E-2</v>
      </c>
    </row>
    <row r="41" spans="1:5" x14ac:dyDescent="0.25">
      <c r="A41" s="5">
        <v>39</v>
      </c>
      <c r="B41" t="s">
        <v>66</v>
      </c>
      <c r="C41" s="5" t="s">
        <v>21</v>
      </c>
      <c r="D41" t="s">
        <v>41</v>
      </c>
      <c r="E41" s="4">
        <v>1.33101851851851E-2</v>
      </c>
    </row>
    <row r="42" spans="1:5" x14ac:dyDescent="0.25">
      <c r="A42" s="5">
        <v>40</v>
      </c>
      <c r="B42" t="s">
        <v>67</v>
      </c>
      <c r="C42" s="5" t="s">
        <v>10</v>
      </c>
      <c r="D42" t="s">
        <v>19</v>
      </c>
      <c r="E42" s="4">
        <v>1.3368055555555499E-2</v>
      </c>
    </row>
    <row r="43" spans="1:5" x14ac:dyDescent="0.25">
      <c r="A43" s="5">
        <v>41</v>
      </c>
      <c r="B43" t="s">
        <v>68</v>
      </c>
      <c r="C43" s="5" t="s">
        <v>69</v>
      </c>
      <c r="D43" t="s">
        <v>35</v>
      </c>
      <c r="E43" s="4">
        <v>1.33912037037037E-2</v>
      </c>
    </row>
    <row r="44" spans="1:5" x14ac:dyDescent="0.25">
      <c r="A44" s="5">
        <v>42</v>
      </c>
      <c r="B44" t="s">
        <v>70</v>
      </c>
      <c r="C44" s="5" t="s">
        <v>10</v>
      </c>
      <c r="D44" t="s">
        <v>22</v>
      </c>
      <c r="E44" s="4">
        <v>1.34375E-2</v>
      </c>
    </row>
    <row r="45" spans="1:5" x14ac:dyDescent="0.25">
      <c r="A45" s="5">
        <v>43</v>
      </c>
      <c r="B45" t="s">
        <v>71</v>
      </c>
      <c r="C45" s="5" t="s">
        <v>6</v>
      </c>
      <c r="D45" t="s">
        <v>35</v>
      </c>
      <c r="E45" s="4">
        <v>1.34953703703703E-2</v>
      </c>
    </row>
    <row r="46" spans="1:5" x14ac:dyDescent="0.25">
      <c r="A46" s="5">
        <v>44</v>
      </c>
      <c r="B46" t="s">
        <v>72</v>
      </c>
      <c r="C46" s="5" t="s">
        <v>34</v>
      </c>
      <c r="D46" t="s">
        <v>73</v>
      </c>
      <c r="E46" s="4">
        <v>1.35300925925925E-2</v>
      </c>
    </row>
    <row r="47" spans="1:5" x14ac:dyDescent="0.25">
      <c r="A47" s="5">
        <v>45</v>
      </c>
      <c r="B47" t="s">
        <v>74</v>
      </c>
      <c r="C47" s="5" t="s">
        <v>21</v>
      </c>
      <c r="D47" t="s">
        <v>45</v>
      </c>
      <c r="E47" s="4">
        <v>1.35648148148148E-2</v>
      </c>
    </row>
    <row r="48" spans="1:5" x14ac:dyDescent="0.25">
      <c r="A48" s="5">
        <v>46</v>
      </c>
      <c r="B48" t="s">
        <v>75</v>
      </c>
      <c r="C48" s="5" t="s">
        <v>6</v>
      </c>
      <c r="D48" t="s">
        <v>41</v>
      </c>
      <c r="E48" s="4">
        <v>1.3599537037037E-2</v>
      </c>
    </row>
    <row r="49" spans="1:5" x14ac:dyDescent="0.25">
      <c r="A49" s="5">
        <v>47</v>
      </c>
      <c r="B49" t="s">
        <v>76</v>
      </c>
      <c r="C49" s="5" t="s">
        <v>69</v>
      </c>
      <c r="D49" t="s">
        <v>62</v>
      </c>
      <c r="E49" s="4">
        <v>1.37152777777777E-2</v>
      </c>
    </row>
    <row r="50" spans="1:5" x14ac:dyDescent="0.25">
      <c r="A50" s="5">
        <v>48</v>
      </c>
      <c r="B50" t="s">
        <v>77</v>
      </c>
      <c r="C50" s="5" t="s">
        <v>34</v>
      </c>
      <c r="D50" t="s">
        <v>78</v>
      </c>
      <c r="E50" s="4">
        <v>1.375E-2</v>
      </c>
    </row>
    <row r="51" spans="1:5" x14ac:dyDescent="0.25">
      <c r="A51" s="5">
        <v>49</v>
      </c>
      <c r="B51" t="s">
        <v>79</v>
      </c>
      <c r="C51" s="5" t="s">
        <v>34</v>
      </c>
      <c r="D51" t="s">
        <v>41</v>
      </c>
      <c r="E51" s="4">
        <v>1.38425925925925E-2</v>
      </c>
    </row>
    <row r="52" spans="1:5" x14ac:dyDescent="0.25">
      <c r="A52" s="5">
        <v>50</v>
      </c>
      <c r="B52" t="s">
        <v>80</v>
      </c>
      <c r="C52" s="5" t="s">
        <v>81</v>
      </c>
      <c r="D52" t="s">
        <v>16</v>
      </c>
      <c r="E52" s="4">
        <v>1.3877314814814801E-2</v>
      </c>
    </row>
    <row r="53" spans="1:5" x14ac:dyDescent="0.25">
      <c r="A53" s="5">
        <v>51</v>
      </c>
      <c r="B53" t="s">
        <v>82</v>
      </c>
      <c r="C53" s="5" t="s">
        <v>69</v>
      </c>
      <c r="D53" t="s">
        <v>83</v>
      </c>
      <c r="E53" s="4">
        <v>1.39236111111111E-2</v>
      </c>
    </row>
    <row r="54" spans="1:5" x14ac:dyDescent="0.25">
      <c r="A54" s="5">
        <v>52</v>
      </c>
      <c r="B54" t="s">
        <v>84</v>
      </c>
      <c r="C54" s="5" t="s">
        <v>34</v>
      </c>
      <c r="D54" t="s">
        <v>26</v>
      </c>
      <c r="E54" s="4">
        <v>1.39699074074074E-2</v>
      </c>
    </row>
    <row r="55" spans="1:5" x14ac:dyDescent="0.25">
      <c r="A55" s="5">
        <v>53</v>
      </c>
      <c r="B55" t="s">
        <v>85</v>
      </c>
      <c r="C55" s="5" t="s">
        <v>10</v>
      </c>
      <c r="D55" t="s">
        <v>86</v>
      </c>
      <c r="E55" s="4">
        <v>1.4016203703703701E-2</v>
      </c>
    </row>
    <row r="56" spans="1:5" x14ac:dyDescent="0.25">
      <c r="A56" s="5">
        <v>54</v>
      </c>
      <c r="B56" t="s">
        <v>87</v>
      </c>
      <c r="C56" s="5" t="s">
        <v>15</v>
      </c>
      <c r="D56" t="s">
        <v>88</v>
      </c>
      <c r="E56" s="4">
        <v>1.42361111111111E-2</v>
      </c>
    </row>
    <row r="57" spans="1:5" x14ac:dyDescent="0.25">
      <c r="A57" s="5">
        <v>55</v>
      </c>
      <c r="B57" t="s">
        <v>89</v>
      </c>
      <c r="C57" s="5" t="s">
        <v>34</v>
      </c>
      <c r="D57" t="s">
        <v>38</v>
      </c>
      <c r="E57" s="4">
        <v>1.4409722222222201E-2</v>
      </c>
    </row>
    <row r="58" spans="1:5" x14ac:dyDescent="0.25">
      <c r="A58" s="5">
        <v>56</v>
      </c>
      <c r="B58" t="s">
        <v>90</v>
      </c>
      <c r="C58" s="5" t="s">
        <v>69</v>
      </c>
      <c r="D58" t="s">
        <v>83</v>
      </c>
      <c r="E58" s="4">
        <v>1.4421296296296199E-2</v>
      </c>
    </row>
    <row r="59" spans="1:5" x14ac:dyDescent="0.25">
      <c r="A59" s="5">
        <v>57</v>
      </c>
      <c r="B59" t="s">
        <v>91</v>
      </c>
      <c r="C59" s="5" t="s">
        <v>34</v>
      </c>
      <c r="D59" t="s">
        <v>83</v>
      </c>
      <c r="E59" s="4">
        <v>1.45138888888888E-2</v>
      </c>
    </row>
    <row r="60" spans="1:5" x14ac:dyDescent="0.25">
      <c r="A60" s="5">
        <v>58</v>
      </c>
      <c r="B60" t="s">
        <v>92</v>
      </c>
      <c r="C60" s="5" t="s">
        <v>21</v>
      </c>
      <c r="D60" t="s">
        <v>93</v>
      </c>
      <c r="E60" s="4">
        <v>1.45254629629629E-2</v>
      </c>
    </row>
    <row r="61" spans="1:5" x14ac:dyDescent="0.25">
      <c r="A61" s="5">
        <v>59</v>
      </c>
      <c r="B61" t="s">
        <v>94</v>
      </c>
      <c r="C61" s="5" t="s">
        <v>21</v>
      </c>
      <c r="D61" t="s">
        <v>78</v>
      </c>
      <c r="E61" s="4">
        <v>1.4606481481481399E-2</v>
      </c>
    </row>
    <row r="62" spans="1:5" x14ac:dyDescent="0.25">
      <c r="A62" s="5">
        <v>60</v>
      </c>
      <c r="B62" t="s">
        <v>95</v>
      </c>
      <c r="C62" s="5" t="s">
        <v>10</v>
      </c>
      <c r="D62">
        <v>0</v>
      </c>
      <c r="E62" s="4">
        <v>1.46180555555555E-2</v>
      </c>
    </row>
    <row r="63" spans="1:5" x14ac:dyDescent="0.25">
      <c r="A63" s="5">
        <v>61</v>
      </c>
      <c r="B63" t="s">
        <v>96</v>
      </c>
      <c r="C63" s="5" t="s">
        <v>21</v>
      </c>
      <c r="D63" t="s">
        <v>41</v>
      </c>
      <c r="E63" s="4">
        <v>1.46296296296296E-2</v>
      </c>
    </row>
    <row r="64" spans="1:5" x14ac:dyDescent="0.25">
      <c r="A64" s="5">
        <v>62</v>
      </c>
      <c r="B64" t="s">
        <v>97</v>
      </c>
      <c r="C64" s="5" t="s">
        <v>69</v>
      </c>
      <c r="D64" t="s">
        <v>35</v>
      </c>
      <c r="E64" s="4">
        <v>1.4687499999999999E-2</v>
      </c>
    </row>
    <row r="65" spans="1:5" x14ac:dyDescent="0.25">
      <c r="A65" s="5">
        <v>63</v>
      </c>
      <c r="B65" t="s">
        <v>98</v>
      </c>
      <c r="C65" s="5" t="s">
        <v>15</v>
      </c>
      <c r="D65" t="s">
        <v>22</v>
      </c>
      <c r="E65" s="4">
        <v>1.4710648148148099E-2</v>
      </c>
    </row>
    <row r="66" spans="1:5" x14ac:dyDescent="0.25">
      <c r="A66" s="5">
        <v>64</v>
      </c>
      <c r="B66" t="s">
        <v>99</v>
      </c>
      <c r="C66" s="5" t="s">
        <v>69</v>
      </c>
      <c r="D66" t="s">
        <v>11</v>
      </c>
      <c r="E66" s="4">
        <v>1.48726851851851E-2</v>
      </c>
    </row>
    <row r="67" spans="1:5" x14ac:dyDescent="0.25">
      <c r="A67" s="5">
        <v>65</v>
      </c>
      <c r="B67" t="s">
        <v>100</v>
      </c>
      <c r="C67" s="5" t="s">
        <v>15</v>
      </c>
      <c r="D67" t="s">
        <v>51</v>
      </c>
      <c r="E67" s="4">
        <v>1.50231481481481E-2</v>
      </c>
    </row>
    <row r="68" spans="1:5" x14ac:dyDescent="0.25">
      <c r="A68" s="5">
        <v>66</v>
      </c>
      <c r="B68" t="s">
        <v>101</v>
      </c>
      <c r="C68" s="5" t="s">
        <v>21</v>
      </c>
      <c r="D68" t="s">
        <v>19</v>
      </c>
      <c r="E68" s="4">
        <v>1.5069444444444399E-2</v>
      </c>
    </row>
    <row r="69" spans="1:5" x14ac:dyDescent="0.25">
      <c r="A69" s="5">
        <v>67</v>
      </c>
      <c r="B69" t="s">
        <v>102</v>
      </c>
      <c r="C69" s="5" t="s">
        <v>34</v>
      </c>
      <c r="D69" t="s">
        <v>35</v>
      </c>
      <c r="E69" s="4">
        <v>1.5104166666666601E-2</v>
      </c>
    </row>
    <row r="70" spans="1:5" x14ac:dyDescent="0.25">
      <c r="A70" s="5">
        <v>68</v>
      </c>
      <c r="B70" t="s">
        <v>103</v>
      </c>
      <c r="C70" s="5" t="s">
        <v>69</v>
      </c>
      <c r="D70" t="s">
        <v>83</v>
      </c>
      <c r="E70" s="4">
        <v>1.51157407407407E-2</v>
      </c>
    </row>
    <row r="71" spans="1:5" x14ac:dyDescent="0.25">
      <c r="A71" s="5">
        <v>69</v>
      </c>
      <c r="B71" t="s">
        <v>104</v>
      </c>
      <c r="C71" s="5" t="s">
        <v>81</v>
      </c>
      <c r="D71" t="s">
        <v>83</v>
      </c>
      <c r="E71" s="4">
        <v>1.52662037037037E-2</v>
      </c>
    </row>
    <row r="72" spans="1:5" x14ac:dyDescent="0.25">
      <c r="A72" s="5">
        <v>70</v>
      </c>
      <c r="B72" t="s">
        <v>105</v>
      </c>
      <c r="C72" s="5" t="s">
        <v>106</v>
      </c>
      <c r="D72" t="s">
        <v>35</v>
      </c>
      <c r="E72" s="4">
        <v>1.53125E-2</v>
      </c>
    </row>
    <row r="73" spans="1:5" x14ac:dyDescent="0.25">
      <c r="A73" s="5">
        <v>71</v>
      </c>
      <c r="B73" t="s">
        <v>107</v>
      </c>
      <c r="C73" s="5" t="s">
        <v>34</v>
      </c>
      <c r="D73" t="s">
        <v>51</v>
      </c>
      <c r="E73" s="4">
        <v>1.5324074074074E-2</v>
      </c>
    </row>
    <row r="74" spans="1:5" x14ac:dyDescent="0.25">
      <c r="A74" s="5">
        <v>72</v>
      </c>
      <c r="B74" t="s">
        <v>108</v>
      </c>
      <c r="C74" s="5" t="s">
        <v>81</v>
      </c>
      <c r="D74" t="s">
        <v>109</v>
      </c>
      <c r="E74" s="4">
        <v>1.53356481481481E-2</v>
      </c>
    </row>
    <row r="75" spans="1:5" x14ac:dyDescent="0.25">
      <c r="A75" s="5">
        <v>73</v>
      </c>
      <c r="B75" t="s">
        <v>110</v>
      </c>
      <c r="C75" s="5" t="s">
        <v>21</v>
      </c>
      <c r="D75" t="s">
        <v>111</v>
      </c>
      <c r="E75" s="4">
        <v>1.55555555555555E-2</v>
      </c>
    </row>
    <row r="76" spans="1:5" x14ac:dyDescent="0.25">
      <c r="A76" s="5">
        <v>74</v>
      </c>
      <c r="B76" t="s">
        <v>112</v>
      </c>
      <c r="C76" s="5" t="s">
        <v>69</v>
      </c>
      <c r="D76" t="s">
        <v>113</v>
      </c>
      <c r="E76" s="4">
        <v>1.5578703703703701E-2</v>
      </c>
    </row>
    <row r="77" spans="1:5" x14ac:dyDescent="0.25">
      <c r="A77" s="5">
        <v>75</v>
      </c>
      <c r="B77" t="s">
        <v>114</v>
      </c>
      <c r="C77" s="5" t="s">
        <v>106</v>
      </c>
      <c r="D77" t="s">
        <v>7</v>
      </c>
      <c r="E77" s="4">
        <v>1.5601851851851801E-2</v>
      </c>
    </row>
    <row r="78" spans="1:5" x14ac:dyDescent="0.25">
      <c r="A78" s="5">
        <v>76</v>
      </c>
      <c r="B78" t="s">
        <v>115</v>
      </c>
      <c r="C78" s="5" t="s">
        <v>21</v>
      </c>
      <c r="D78" t="s">
        <v>35</v>
      </c>
      <c r="E78" s="4">
        <v>1.5682870370370298E-2</v>
      </c>
    </row>
    <row r="79" spans="1:5" x14ac:dyDescent="0.25">
      <c r="A79" s="5">
        <v>77</v>
      </c>
      <c r="B79" t="s">
        <v>116</v>
      </c>
      <c r="C79" s="5" t="s">
        <v>69</v>
      </c>
      <c r="D79" t="s">
        <v>83</v>
      </c>
      <c r="E79" s="4">
        <v>1.5775462962962901E-2</v>
      </c>
    </row>
    <row r="80" spans="1:5" x14ac:dyDescent="0.25">
      <c r="A80" s="5">
        <v>78</v>
      </c>
      <c r="B80" t="s">
        <v>117</v>
      </c>
      <c r="C80" s="5" t="s">
        <v>34</v>
      </c>
      <c r="D80" t="s">
        <v>113</v>
      </c>
      <c r="E80" s="4">
        <v>1.6238425925925899E-2</v>
      </c>
    </row>
    <row r="81" spans="1:5" x14ac:dyDescent="0.25">
      <c r="A81" s="5">
        <v>79</v>
      </c>
      <c r="B81" t="s">
        <v>118</v>
      </c>
      <c r="C81" s="5" t="s">
        <v>106</v>
      </c>
      <c r="D81" t="s">
        <v>119</v>
      </c>
      <c r="E81" s="4">
        <v>1.6377314814814799E-2</v>
      </c>
    </row>
    <row r="82" spans="1:5" x14ac:dyDescent="0.25">
      <c r="A82" s="5">
        <v>80</v>
      </c>
      <c r="B82" t="s">
        <v>120</v>
      </c>
      <c r="C82" s="5" t="s">
        <v>69</v>
      </c>
      <c r="D82" t="s">
        <v>22</v>
      </c>
      <c r="E82" s="4">
        <v>1.6504629629629598E-2</v>
      </c>
    </row>
    <row r="83" spans="1:5" x14ac:dyDescent="0.25">
      <c r="A83" s="5">
        <v>81</v>
      </c>
      <c r="B83" t="s">
        <v>121</v>
      </c>
      <c r="C83" s="5" t="s">
        <v>34</v>
      </c>
      <c r="D83" t="s">
        <v>122</v>
      </c>
      <c r="E83" s="4">
        <v>1.6817129629629599E-2</v>
      </c>
    </row>
    <row r="84" spans="1:5" x14ac:dyDescent="0.25">
      <c r="A84" s="5">
        <v>82</v>
      </c>
      <c r="B84" t="s">
        <v>123</v>
      </c>
      <c r="C84" s="5" t="s">
        <v>15</v>
      </c>
      <c r="D84" t="s">
        <v>124</v>
      </c>
      <c r="E84" s="4">
        <v>1.7094907407407399E-2</v>
      </c>
    </row>
    <row r="85" spans="1:5" x14ac:dyDescent="0.25">
      <c r="A85" s="5">
        <v>83</v>
      </c>
      <c r="B85" t="s">
        <v>125</v>
      </c>
      <c r="C85" s="5" t="s">
        <v>21</v>
      </c>
      <c r="D85" t="s">
        <v>62</v>
      </c>
      <c r="E85" s="4">
        <v>1.8842592592592501E-2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7C7C3-4FE7-4E0E-AF83-7F1F09B2D970}">
  <dimension ref="A2:E66"/>
  <sheetViews>
    <sheetView workbookViewId="0">
      <selection activeCell="B3" sqref="B3"/>
    </sheetView>
  </sheetViews>
  <sheetFormatPr defaultRowHeight="13.2" x14ac:dyDescent="0.25"/>
  <cols>
    <col min="1" max="1" width="8.88671875" style="5"/>
    <col min="2" max="2" width="19.33203125" bestFit="1" customWidth="1"/>
    <col min="3" max="3" width="8.88671875" style="5"/>
    <col min="4" max="4" width="24.88671875" bestFit="1" customWidth="1"/>
    <col min="5" max="5" width="8.88671875" style="4"/>
  </cols>
  <sheetData>
    <row r="2" spans="1:5" x14ac:dyDescent="0.25">
      <c r="A2" s="6"/>
      <c r="B2" s="7" t="s">
        <v>565</v>
      </c>
      <c r="C2" s="6"/>
      <c r="D2" s="7"/>
      <c r="E2" s="8"/>
    </row>
    <row r="3" spans="1:5" x14ac:dyDescent="0.25">
      <c r="A3" s="6" t="s">
        <v>1</v>
      </c>
      <c r="B3" s="7" t="s">
        <v>2</v>
      </c>
      <c r="C3" s="6" t="s">
        <v>3</v>
      </c>
      <c r="D3" s="7" t="s">
        <v>0</v>
      </c>
      <c r="E3" s="8" t="s">
        <v>4</v>
      </c>
    </row>
    <row r="4" spans="1:5" x14ac:dyDescent="0.25">
      <c r="A4" s="5">
        <v>1</v>
      </c>
      <c r="B4" t="s">
        <v>126</v>
      </c>
      <c r="C4" s="5" t="s">
        <v>127</v>
      </c>
      <c r="D4" t="s">
        <v>11</v>
      </c>
      <c r="E4" s="4">
        <v>3.8078703703703699E-3</v>
      </c>
    </row>
    <row r="5" spans="1:5" x14ac:dyDescent="0.25">
      <c r="A5" s="5">
        <v>2</v>
      </c>
      <c r="B5" t="s">
        <v>128</v>
      </c>
      <c r="C5" s="5" t="s">
        <v>127</v>
      </c>
      <c r="D5" t="s">
        <v>83</v>
      </c>
      <c r="E5" s="4">
        <v>3.8425925925925902E-3</v>
      </c>
    </row>
    <row r="6" spans="1:5" x14ac:dyDescent="0.25">
      <c r="A6" s="5">
        <v>3</v>
      </c>
      <c r="B6" t="s">
        <v>129</v>
      </c>
      <c r="C6" s="5" t="s">
        <v>127</v>
      </c>
      <c r="D6" t="s">
        <v>22</v>
      </c>
      <c r="E6" s="4">
        <v>3.9699074074074003E-3</v>
      </c>
    </row>
    <row r="7" spans="1:5" x14ac:dyDescent="0.25">
      <c r="A7" s="5">
        <v>4</v>
      </c>
      <c r="B7" t="s">
        <v>130</v>
      </c>
      <c r="C7" s="5" t="s">
        <v>131</v>
      </c>
      <c r="D7" t="s">
        <v>132</v>
      </c>
      <c r="E7" s="4">
        <v>4.1319444444444398E-3</v>
      </c>
    </row>
    <row r="8" spans="1:5" x14ac:dyDescent="0.25">
      <c r="A8" s="5">
        <v>5</v>
      </c>
      <c r="B8" t="s">
        <v>133</v>
      </c>
      <c r="C8" s="5" t="s">
        <v>127</v>
      </c>
      <c r="D8" t="s">
        <v>41</v>
      </c>
      <c r="E8" s="4">
        <v>4.1435185185185099E-3</v>
      </c>
    </row>
    <row r="9" spans="1:5" x14ac:dyDescent="0.25">
      <c r="A9" s="5">
        <v>6</v>
      </c>
      <c r="B9" t="s">
        <v>134</v>
      </c>
      <c r="C9" s="5" t="s">
        <v>127</v>
      </c>
      <c r="D9" t="s">
        <v>135</v>
      </c>
      <c r="E9" s="4">
        <v>4.1782407407407402E-3</v>
      </c>
    </row>
    <row r="10" spans="1:5" x14ac:dyDescent="0.25">
      <c r="A10" s="5">
        <v>7</v>
      </c>
      <c r="B10" t="s">
        <v>136</v>
      </c>
      <c r="C10" s="5" t="s">
        <v>127</v>
      </c>
      <c r="D10" t="s">
        <v>35</v>
      </c>
      <c r="E10" s="4">
        <v>4.1898148148148103E-3</v>
      </c>
    </row>
    <row r="11" spans="1:5" x14ac:dyDescent="0.25">
      <c r="A11" s="5">
        <v>8</v>
      </c>
      <c r="B11" t="s">
        <v>137</v>
      </c>
      <c r="C11" s="5" t="s">
        <v>127</v>
      </c>
      <c r="D11" t="s">
        <v>135</v>
      </c>
      <c r="E11" s="4">
        <v>4.2245370370370301E-3</v>
      </c>
    </row>
    <row r="12" spans="1:5" x14ac:dyDescent="0.25">
      <c r="A12" s="5">
        <v>9</v>
      </c>
      <c r="B12" t="s">
        <v>138</v>
      </c>
      <c r="C12" s="5" t="s">
        <v>131</v>
      </c>
      <c r="D12" t="s">
        <v>83</v>
      </c>
      <c r="E12" s="4">
        <v>4.2245370370370301E-3</v>
      </c>
    </row>
    <row r="13" spans="1:5" x14ac:dyDescent="0.25">
      <c r="A13" s="5">
        <v>10</v>
      </c>
      <c r="B13" t="s">
        <v>139</v>
      </c>
      <c r="C13" s="5" t="s">
        <v>127</v>
      </c>
      <c r="D13" t="s">
        <v>41</v>
      </c>
      <c r="E13" s="4">
        <v>4.2939814814814802E-3</v>
      </c>
    </row>
    <row r="14" spans="1:5" x14ac:dyDescent="0.25">
      <c r="A14" s="5">
        <v>11</v>
      </c>
      <c r="B14" t="s">
        <v>140</v>
      </c>
      <c r="C14" s="5" t="s">
        <v>127</v>
      </c>
      <c r="D14" t="s">
        <v>141</v>
      </c>
      <c r="E14" s="4">
        <v>4.3055555555555503E-3</v>
      </c>
    </row>
    <row r="15" spans="1:5" x14ac:dyDescent="0.25">
      <c r="A15" s="5">
        <v>12</v>
      </c>
      <c r="B15" t="s">
        <v>142</v>
      </c>
      <c r="C15" s="5" t="s">
        <v>131</v>
      </c>
      <c r="D15" t="s">
        <v>143</v>
      </c>
      <c r="E15" s="4">
        <v>4.31712962962963E-3</v>
      </c>
    </row>
    <row r="16" spans="1:5" x14ac:dyDescent="0.25">
      <c r="A16" s="5">
        <v>13</v>
      </c>
      <c r="B16" t="s">
        <v>144</v>
      </c>
      <c r="C16" s="5" t="s">
        <v>127</v>
      </c>
      <c r="D16" t="s">
        <v>83</v>
      </c>
      <c r="E16" s="4">
        <v>4.3287037037037001E-3</v>
      </c>
    </row>
    <row r="17" spans="1:5" x14ac:dyDescent="0.25">
      <c r="A17" s="5">
        <v>14</v>
      </c>
      <c r="B17" t="s">
        <v>145</v>
      </c>
      <c r="C17" s="5" t="s">
        <v>127</v>
      </c>
      <c r="D17" t="s">
        <v>135</v>
      </c>
      <c r="E17" s="4">
        <v>4.3287037037037001E-3</v>
      </c>
    </row>
    <row r="18" spans="1:5" x14ac:dyDescent="0.25">
      <c r="A18" s="5">
        <v>15</v>
      </c>
      <c r="B18" t="s">
        <v>146</v>
      </c>
      <c r="C18" s="5" t="s">
        <v>127</v>
      </c>
      <c r="D18" t="s">
        <v>135</v>
      </c>
      <c r="E18" s="4">
        <v>4.3518518518518498E-3</v>
      </c>
    </row>
    <row r="19" spans="1:5" x14ac:dyDescent="0.25">
      <c r="A19" s="5">
        <v>16</v>
      </c>
      <c r="B19" t="s">
        <v>147</v>
      </c>
      <c r="C19" s="5" t="s">
        <v>127</v>
      </c>
      <c r="D19" t="s">
        <v>11</v>
      </c>
      <c r="E19" s="4">
        <v>4.3981481481481398E-3</v>
      </c>
    </row>
    <row r="20" spans="1:5" x14ac:dyDescent="0.25">
      <c r="A20" s="5">
        <v>17</v>
      </c>
      <c r="B20" t="s">
        <v>148</v>
      </c>
      <c r="C20" s="5" t="s">
        <v>127</v>
      </c>
      <c r="D20" t="s">
        <v>35</v>
      </c>
      <c r="E20" s="4">
        <v>4.4097222222222203E-3</v>
      </c>
    </row>
    <row r="21" spans="1:5" x14ac:dyDescent="0.25">
      <c r="A21" s="5">
        <v>18</v>
      </c>
      <c r="B21" t="s">
        <v>149</v>
      </c>
      <c r="C21" s="5" t="s">
        <v>127</v>
      </c>
      <c r="D21" t="s">
        <v>135</v>
      </c>
      <c r="E21" s="4">
        <v>4.4212962962962904E-3</v>
      </c>
    </row>
    <row r="22" spans="1:5" x14ac:dyDescent="0.25">
      <c r="A22" s="5">
        <v>19</v>
      </c>
      <c r="B22" t="s">
        <v>150</v>
      </c>
      <c r="C22" s="5" t="s">
        <v>127</v>
      </c>
      <c r="D22" t="s">
        <v>32</v>
      </c>
      <c r="E22" s="4">
        <v>4.43287037037037E-3</v>
      </c>
    </row>
    <row r="23" spans="1:5" x14ac:dyDescent="0.25">
      <c r="A23" s="5">
        <v>20</v>
      </c>
      <c r="B23" t="s">
        <v>151</v>
      </c>
      <c r="C23" s="5" t="s">
        <v>127</v>
      </c>
      <c r="D23" t="s">
        <v>11</v>
      </c>
      <c r="E23" s="4">
        <v>4.4444444444444401E-3</v>
      </c>
    </row>
    <row r="24" spans="1:5" x14ac:dyDescent="0.25">
      <c r="A24" s="5">
        <v>21</v>
      </c>
      <c r="B24" t="s">
        <v>152</v>
      </c>
      <c r="C24" s="5" t="s">
        <v>127</v>
      </c>
      <c r="D24" t="s">
        <v>132</v>
      </c>
      <c r="E24" s="4">
        <v>4.4675925925925898E-3</v>
      </c>
    </row>
    <row r="25" spans="1:5" x14ac:dyDescent="0.25">
      <c r="A25" s="5">
        <v>22</v>
      </c>
      <c r="B25" t="s">
        <v>153</v>
      </c>
      <c r="C25" s="5" t="s">
        <v>131</v>
      </c>
      <c r="D25" t="s">
        <v>35</v>
      </c>
      <c r="E25" s="4">
        <v>4.4907407407407396E-3</v>
      </c>
    </row>
    <row r="26" spans="1:5" x14ac:dyDescent="0.25">
      <c r="A26" s="5">
        <v>23</v>
      </c>
      <c r="B26" t="s">
        <v>154</v>
      </c>
      <c r="C26" s="5" t="s">
        <v>127</v>
      </c>
      <c r="D26" t="s">
        <v>35</v>
      </c>
      <c r="E26" s="4">
        <v>4.5138888888888798E-3</v>
      </c>
    </row>
    <row r="27" spans="1:5" x14ac:dyDescent="0.25">
      <c r="A27" s="5">
        <v>24</v>
      </c>
      <c r="B27" t="s">
        <v>155</v>
      </c>
      <c r="C27" s="5" t="s">
        <v>131</v>
      </c>
      <c r="D27" t="s">
        <v>156</v>
      </c>
      <c r="E27" s="4">
        <v>4.5254629629629603E-3</v>
      </c>
    </row>
    <row r="28" spans="1:5" x14ac:dyDescent="0.25">
      <c r="A28" s="5">
        <v>25</v>
      </c>
      <c r="B28" t="s">
        <v>157</v>
      </c>
      <c r="C28" s="5" t="s">
        <v>131</v>
      </c>
      <c r="D28" t="s">
        <v>11</v>
      </c>
      <c r="E28" s="4">
        <v>4.5833333333333299E-3</v>
      </c>
    </row>
    <row r="29" spans="1:5" x14ac:dyDescent="0.25">
      <c r="A29" s="5">
        <v>26</v>
      </c>
      <c r="B29" t="s">
        <v>158</v>
      </c>
      <c r="C29" s="5" t="s">
        <v>127</v>
      </c>
      <c r="D29" t="s">
        <v>135</v>
      </c>
      <c r="E29" s="4">
        <v>4.5949074074074E-3</v>
      </c>
    </row>
    <row r="30" spans="1:5" x14ac:dyDescent="0.25">
      <c r="A30" s="5">
        <v>27</v>
      </c>
      <c r="B30" t="s">
        <v>159</v>
      </c>
      <c r="C30" s="5" t="s">
        <v>131</v>
      </c>
      <c r="D30" t="s">
        <v>132</v>
      </c>
      <c r="E30" s="4">
        <v>4.5949074074074E-3</v>
      </c>
    </row>
    <row r="31" spans="1:5" x14ac:dyDescent="0.25">
      <c r="A31" s="5">
        <v>28</v>
      </c>
      <c r="B31" t="s">
        <v>160</v>
      </c>
      <c r="C31" s="5" t="s">
        <v>127</v>
      </c>
      <c r="D31" t="s">
        <v>35</v>
      </c>
      <c r="E31" s="4">
        <v>4.6180555555555497E-3</v>
      </c>
    </row>
    <row r="32" spans="1:5" x14ac:dyDescent="0.25">
      <c r="A32" s="5">
        <v>29</v>
      </c>
      <c r="B32" t="s">
        <v>161</v>
      </c>
      <c r="C32" s="5" t="s">
        <v>131</v>
      </c>
      <c r="D32" t="s">
        <v>83</v>
      </c>
      <c r="E32" s="4">
        <v>4.6296296296296198E-3</v>
      </c>
    </row>
    <row r="33" spans="1:5" x14ac:dyDescent="0.25">
      <c r="A33" s="5">
        <v>30</v>
      </c>
      <c r="B33" t="s">
        <v>162</v>
      </c>
      <c r="C33" s="5" t="s">
        <v>127</v>
      </c>
      <c r="D33" t="s">
        <v>32</v>
      </c>
      <c r="E33" s="4">
        <v>4.6296296296296198E-3</v>
      </c>
    </row>
    <row r="34" spans="1:5" x14ac:dyDescent="0.25">
      <c r="A34" s="5">
        <v>31</v>
      </c>
      <c r="B34" t="s">
        <v>163</v>
      </c>
      <c r="C34" s="5" t="s">
        <v>131</v>
      </c>
      <c r="D34" t="s">
        <v>32</v>
      </c>
      <c r="E34" s="4">
        <v>4.6527777777777696E-3</v>
      </c>
    </row>
    <row r="35" spans="1:5" x14ac:dyDescent="0.25">
      <c r="A35" s="5">
        <v>32</v>
      </c>
      <c r="B35" t="s">
        <v>164</v>
      </c>
      <c r="C35" s="5" t="s">
        <v>127</v>
      </c>
      <c r="D35" t="s">
        <v>135</v>
      </c>
      <c r="E35" s="4">
        <v>4.6759259259259202E-3</v>
      </c>
    </row>
    <row r="36" spans="1:5" x14ac:dyDescent="0.25">
      <c r="A36" s="5">
        <v>33</v>
      </c>
      <c r="B36" t="s">
        <v>165</v>
      </c>
      <c r="C36" s="5" t="s">
        <v>127</v>
      </c>
      <c r="D36" t="s">
        <v>35</v>
      </c>
      <c r="E36" s="4">
        <v>4.6990740740740699E-3</v>
      </c>
    </row>
    <row r="37" spans="1:5" x14ac:dyDescent="0.25">
      <c r="A37" s="5">
        <v>34</v>
      </c>
      <c r="B37" t="s">
        <v>166</v>
      </c>
      <c r="C37" s="5" t="s">
        <v>131</v>
      </c>
      <c r="D37" t="s">
        <v>7</v>
      </c>
      <c r="E37" s="4">
        <v>4.71064814814814E-3</v>
      </c>
    </row>
    <row r="38" spans="1:5" x14ac:dyDescent="0.25">
      <c r="A38" s="5">
        <v>35</v>
      </c>
      <c r="B38" t="s">
        <v>167</v>
      </c>
      <c r="C38" s="5" t="s">
        <v>127</v>
      </c>
      <c r="D38" t="s">
        <v>135</v>
      </c>
      <c r="E38" s="4">
        <v>4.7222222222222197E-3</v>
      </c>
    </row>
    <row r="39" spans="1:5" x14ac:dyDescent="0.25">
      <c r="A39" s="5">
        <v>36</v>
      </c>
      <c r="B39" t="s">
        <v>168</v>
      </c>
      <c r="C39" s="5" t="s">
        <v>127</v>
      </c>
      <c r="D39" t="s">
        <v>62</v>
      </c>
      <c r="E39" s="4">
        <v>4.7337962962962898E-3</v>
      </c>
    </row>
    <row r="40" spans="1:5" x14ac:dyDescent="0.25">
      <c r="A40" s="5">
        <v>37</v>
      </c>
      <c r="B40" t="s">
        <v>169</v>
      </c>
      <c r="C40" s="5" t="s">
        <v>131</v>
      </c>
      <c r="D40" t="s">
        <v>26</v>
      </c>
      <c r="E40" s="4">
        <v>4.7453703703703703E-3</v>
      </c>
    </row>
    <row r="41" spans="1:5" x14ac:dyDescent="0.25">
      <c r="A41" s="5">
        <v>38</v>
      </c>
      <c r="B41" t="s">
        <v>170</v>
      </c>
      <c r="C41" s="5" t="s">
        <v>131</v>
      </c>
      <c r="D41" t="s">
        <v>132</v>
      </c>
      <c r="E41" s="4">
        <v>4.7453703703703703E-3</v>
      </c>
    </row>
    <row r="42" spans="1:5" x14ac:dyDescent="0.25">
      <c r="A42" s="5">
        <v>39</v>
      </c>
      <c r="B42" t="s">
        <v>171</v>
      </c>
      <c r="C42" s="5" t="s">
        <v>127</v>
      </c>
      <c r="D42" t="s">
        <v>11</v>
      </c>
      <c r="E42" s="4">
        <v>4.7569444444444404E-3</v>
      </c>
    </row>
    <row r="43" spans="1:5" x14ac:dyDescent="0.25">
      <c r="A43" s="5">
        <v>40</v>
      </c>
      <c r="B43" t="s">
        <v>172</v>
      </c>
      <c r="C43" s="5" t="s">
        <v>127</v>
      </c>
      <c r="D43" t="s">
        <v>135</v>
      </c>
      <c r="E43" s="4">
        <v>4.7569444444444404E-3</v>
      </c>
    </row>
    <row r="44" spans="1:5" x14ac:dyDescent="0.25">
      <c r="A44" s="5">
        <v>41</v>
      </c>
      <c r="B44" t="s">
        <v>173</v>
      </c>
      <c r="C44" s="5" t="s">
        <v>127</v>
      </c>
      <c r="D44" t="s">
        <v>11</v>
      </c>
      <c r="E44" s="4">
        <v>4.7685185185185096E-3</v>
      </c>
    </row>
    <row r="45" spans="1:5" x14ac:dyDescent="0.25">
      <c r="A45" s="5">
        <v>42</v>
      </c>
      <c r="B45" t="s">
        <v>174</v>
      </c>
      <c r="C45" s="5" t="s">
        <v>127</v>
      </c>
      <c r="D45" t="s">
        <v>62</v>
      </c>
      <c r="E45" s="4">
        <v>4.7685185185185096E-3</v>
      </c>
    </row>
    <row r="46" spans="1:5" x14ac:dyDescent="0.25">
      <c r="A46" s="5">
        <v>43</v>
      </c>
      <c r="B46" t="s">
        <v>175</v>
      </c>
      <c r="C46" s="5" t="s">
        <v>131</v>
      </c>
      <c r="D46" t="s">
        <v>132</v>
      </c>
      <c r="E46" s="4">
        <v>4.81481481481481E-3</v>
      </c>
    </row>
    <row r="47" spans="1:5" x14ac:dyDescent="0.25">
      <c r="A47" s="5">
        <v>44</v>
      </c>
      <c r="B47" t="s">
        <v>176</v>
      </c>
      <c r="C47" s="5" t="s">
        <v>131</v>
      </c>
      <c r="D47" t="s">
        <v>83</v>
      </c>
      <c r="E47" s="4">
        <v>4.8263888888888801E-3</v>
      </c>
    </row>
    <row r="48" spans="1:5" x14ac:dyDescent="0.25">
      <c r="A48" s="5">
        <v>45</v>
      </c>
      <c r="B48" t="s">
        <v>177</v>
      </c>
      <c r="C48" s="5" t="s">
        <v>131</v>
      </c>
      <c r="D48" t="s">
        <v>35</v>
      </c>
      <c r="E48" s="4">
        <v>4.8495370370370298E-3</v>
      </c>
    </row>
    <row r="49" spans="1:5" x14ac:dyDescent="0.25">
      <c r="A49" s="5">
        <v>46</v>
      </c>
      <c r="B49" t="s">
        <v>178</v>
      </c>
      <c r="C49" s="5" t="s">
        <v>131</v>
      </c>
      <c r="D49" t="s">
        <v>124</v>
      </c>
      <c r="E49" s="4">
        <v>5.0231481481481403E-3</v>
      </c>
    </row>
    <row r="50" spans="1:5" x14ac:dyDescent="0.25">
      <c r="A50" s="5">
        <v>47</v>
      </c>
      <c r="B50" t="s">
        <v>179</v>
      </c>
      <c r="C50" s="5" t="s">
        <v>127</v>
      </c>
      <c r="D50" t="s">
        <v>141</v>
      </c>
      <c r="E50" s="4">
        <v>5.0231481481481403E-3</v>
      </c>
    </row>
    <row r="51" spans="1:5" x14ac:dyDescent="0.25">
      <c r="A51" s="5">
        <v>48</v>
      </c>
      <c r="B51" t="s">
        <v>180</v>
      </c>
      <c r="C51" s="5" t="s">
        <v>127</v>
      </c>
      <c r="D51" t="s">
        <v>51</v>
      </c>
      <c r="E51" s="4">
        <v>5.0347222222222199E-3</v>
      </c>
    </row>
    <row r="52" spans="1:5" x14ac:dyDescent="0.25">
      <c r="A52" s="5">
        <v>49</v>
      </c>
      <c r="B52" t="s">
        <v>181</v>
      </c>
      <c r="C52" s="5" t="s">
        <v>127</v>
      </c>
      <c r="D52" t="s">
        <v>22</v>
      </c>
      <c r="E52" s="4">
        <v>5.1157407407407401E-3</v>
      </c>
    </row>
    <row r="53" spans="1:5" x14ac:dyDescent="0.25">
      <c r="A53" s="5">
        <v>50</v>
      </c>
      <c r="B53" t="s">
        <v>182</v>
      </c>
      <c r="C53" s="5" t="s">
        <v>131</v>
      </c>
      <c r="D53" t="s">
        <v>141</v>
      </c>
      <c r="E53" s="4">
        <v>5.1157407407407401E-3</v>
      </c>
    </row>
    <row r="54" spans="1:5" x14ac:dyDescent="0.25">
      <c r="A54" s="5">
        <v>51</v>
      </c>
      <c r="B54" t="s">
        <v>183</v>
      </c>
      <c r="C54" s="5" t="s">
        <v>127</v>
      </c>
      <c r="D54" t="s">
        <v>11</v>
      </c>
      <c r="E54" s="4">
        <v>5.1388888888888803E-3</v>
      </c>
    </row>
    <row r="55" spans="1:5" x14ac:dyDescent="0.25">
      <c r="A55" s="5">
        <v>52</v>
      </c>
      <c r="B55" t="s">
        <v>184</v>
      </c>
      <c r="C55" s="5" t="s">
        <v>127</v>
      </c>
      <c r="D55" t="s">
        <v>135</v>
      </c>
      <c r="E55" s="4">
        <v>5.15046296296296E-3</v>
      </c>
    </row>
    <row r="56" spans="1:5" x14ac:dyDescent="0.25">
      <c r="A56" s="5">
        <v>53</v>
      </c>
      <c r="B56" t="s">
        <v>185</v>
      </c>
      <c r="C56" s="5" t="s">
        <v>131</v>
      </c>
      <c r="D56" t="s">
        <v>62</v>
      </c>
      <c r="E56" s="4">
        <v>5.2893518518518498E-3</v>
      </c>
    </row>
    <row r="57" spans="1:5" x14ac:dyDescent="0.25">
      <c r="A57" s="5">
        <v>54</v>
      </c>
      <c r="B57" t="s">
        <v>186</v>
      </c>
      <c r="C57" s="5" t="s">
        <v>131</v>
      </c>
      <c r="D57" t="s">
        <v>62</v>
      </c>
      <c r="E57" s="4">
        <v>5.3009259259259199E-3</v>
      </c>
    </row>
    <row r="58" spans="1:5" x14ac:dyDescent="0.25">
      <c r="A58" s="5">
        <v>55</v>
      </c>
      <c r="B58" t="s">
        <v>187</v>
      </c>
      <c r="C58" s="5" t="s">
        <v>127</v>
      </c>
      <c r="D58" t="s">
        <v>7</v>
      </c>
      <c r="E58" s="4">
        <v>5.3009259259259199E-3</v>
      </c>
    </row>
    <row r="59" spans="1:5" x14ac:dyDescent="0.25">
      <c r="A59" s="5">
        <v>56</v>
      </c>
      <c r="B59" t="s">
        <v>188</v>
      </c>
      <c r="C59" s="5" t="s">
        <v>131</v>
      </c>
      <c r="D59" t="s">
        <v>11</v>
      </c>
      <c r="E59" s="4">
        <v>5.4976851851851801E-3</v>
      </c>
    </row>
    <row r="60" spans="1:5" x14ac:dyDescent="0.25">
      <c r="A60" s="5">
        <v>57</v>
      </c>
      <c r="B60" t="s">
        <v>189</v>
      </c>
      <c r="C60" s="5" t="s">
        <v>131</v>
      </c>
      <c r="D60" t="s">
        <v>62</v>
      </c>
      <c r="E60" s="4">
        <v>5.5902777777777704E-3</v>
      </c>
    </row>
    <row r="61" spans="1:5" x14ac:dyDescent="0.25">
      <c r="A61" s="5">
        <v>58</v>
      </c>
      <c r="B61" t="s">
        <v>190</v>
      </c>
      <c r="C61" s="5" t="s">
        <v>131</v>
      </c>
      <c r="D61" t="s">
        <v>62</v>
      </c>
      <c r="E61" s="4">
        <v>5.6712962962962897E-3</v>
      </c>
    </row>
    <row r="62" spans="1:5" x14ac:dyDescent="0.25">
      <c r="A62" s="5">
        <v>59</v>
      </c>
      <c r="B62" t="s">
        <v>191</v>
      </c>
      <c r="C62" s="5" t="s">
        <v>127</v>
      </c>
      <c r="D62" t="s">
        <v>135</v>
      </c>
      <c r="E62" s="4">
        <v>5.7523148148148099E-3</v>
      </c>
    </row>
    <row r="63" spans="1:5" x14ac:dyDescent="0.25">
      <c r="A63" s="5">
        <v>60</v>
      </c>
      <c r="B63" t="s">
        <v>192</v>
      </c>
      <c r="C63" s="5" t="s">
        <v>131</v>
      </c>
      <c r="D63" t="s">
        <v>22</v>
      </c>
      <c r="E63" s="4">
        <v>5.8101851851851804E-3</v>
      </c>
    </row>
    <row r="64" spans="1:5" x14ac:dyDescent="0.25">
      <c r="A64" s="5">
        <v>61</v>
      </c>
      <c r="B64" t="s">
        <v>193</v>
      </c>
      <c r="C64" s="5" t="s">
        <v>131</v>
      </c>
      <c r="D64" t="s">
        <v>124</v>
      </c>
      <c r="E64" s="4">
        <v>5.8796296296296296E-3</v>
      </c>
    </row>
    <row r="65" spans="1:5" x14ac:dyDescent="0.25">
      <c r="A65" s="5">
        <v>62</v>
      </c>
      <c r="B65" t="s">
        <v>194</v>
      </c>
      <c r="C65" s="5" t="s">
        <v>131</v>
      </c>
      <c r="D65" t="s">
        <v>11</v>
      </c>
      <c r="E65" s="4">
        <v>6.2268518518518497E-3</v>
      </c>
    </row>
    <row r="66" spans="1:5" x14ac:dyDescent="0.25">
      <c r="A66" s="5">
        <v>63</v>
      </c>
      <c r="B66" t="s">
        <v>195</v>
      </c>
      <c r="C66" s="5" t="s">
        <v>131</v>
      </c>
      <c r="D66" t="s">
        <v>11</v>
      </c>
      <c r="E66" s="4">
        <v>6.2384259259259198E-3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EF4FB-4B32-4E92-B712-1ABEFF47C44E}">
  <dimension ref="A2:E139"/>
  <sheetViews>
    <sheetView workbookViewId="0">
      <selection activeCell="H3" sqref="H3"/>
    </sheetView>
  </sheetViews>
  <sheetFormatPr defaultRowHeight="13.2" x14ac:dyDescent="0.25"/>
  <cols>
    <col min="1" max="1" width="8.88671875" style="5"/>
    <col min="2" max="2" width="19" bestFit="1" customWidth="1"/>
    <col min="3" max="3" width="8.88671875" style="5"/>
    <col min="4" max="4" width="26.6640625" bestFit="1" customWidth="1"/>
    <col min="5" max="5" width="8.88671875" style="4"/>
  </cols>
  <sheetData>
    <row r="2" spans="1:5" x14ac:dyDescent="0.25">
      <c r="A2" s="6"/>
      <c r="B2" s="9" t="s">
        <v>564</v>
      </c>
      <c r="C2" s="9"/>
      <c r="D2" s="9"/>
      <c r="E2" s="8"/>
    </row>
    <row r="3" spans="1:5" x14ac:dyDescent="0.25">
      <c r="A3" s="6" t="s">
        <v>1</v>
      </c>
      <c r="B3" s="7" t="s">
        <v>2</v>
      </c>
      <c r="C3" s="6" t="s">
        <v>3</v>
      </c>
      <c r="D3" s="7" t="s">
        <v>0</v>
      </c>
      <c r="E3" s="8" t="s">
        <v>4</v>
      </c>
    </row>
    <row r="4" spans="1:5" x14ac:dyDescent="0.25">
      <c r="A4" s="5">
        <v>1</v>
      </c>
      <c r="B4" t="s">
        <v>196</v>
      </c>
      <c r="C4" s="5" t="s">
        <v>197</v>
      </c>
      <c r="D4" t="s">
        <v>132</v>
      </c>
      <c r="E4" s="4">
        <v>1.24421296296296E-2</v>
      </c>
    </row>
    <row r="5" spans="1:5" x14ac:dyDescent="0.25">
      <c r="A5" s="5">
        <v>2</v>
      </c>
      <c r="B5" t="s">
        <v>198</v>
      </c>
      <c r="C5" s="5" t="s">
        <v>199</v>
      </c>
      <c r="D5" t="s">
        <v>7</v>
      </c>
      <c r="E5" s="4">
        <v>1.2824074074074E-2</v>
      </c>
    </row>
    <row r="6" spans="1:5" x14ac:dyDescent="0.25">
      <c r="A6" s="5">
        <v>3</v>
      </c>
      <c r="B6" t="s">
        <v>200</v>
      </c>
      <c r="C6" s="5" t="s">
        <v>197</v>
      </c>
      <c r="D6" t="s">
        <v>26</v>
      </c>
      <c r="E6" s="4">
        <v>1.2986111111111099E-2</v>
      </c>
    </row>
    <row r="7" spans="1:5" x14ac:dyDescent="0.25">
      <c r="A7" s="5">
        <v>4</v>
      </c>
      <c r="B7" t="s">
        <v>201</v>
      </c>
      <c r="C7" s="5" t="s">
        <v>199</v>
      </c>
      <c r="D7" t="s">
        <v>7</v>
      </c>
      <c r="E7" s="4">
        <v>1.31134259259259E-2</v>
      </c>
    </row>
    <row r="8" spans="1:5" x14ac:dyDescent="0.25">
      <c r="A8" s="5">
        <v>5</v>
      </c>
      <c r="B8" t="s">
        <v>202</v>
      </c>
      <c r="C8" s="5" t="s">
        <v>197</v>
      </c>
      <c r="D8" t="s">
        <v>32</v>
      </c>
      <c r="E8" s="4">
        <v>1.3136574074074E-2</v>
      </c>
    </row>
    <row r="9" spans="1:5" x14ac:dyDescent="0.25">
      <c r="A9" s="5">
        <v>6</v>
      </c>
      <c r="B9" t="s">
        <v>203</v>
      </c>
      <c r="C9" s="5" t="s">
        <v>197</v>
      </c>
      <c r="D9" t="s">
        <v>7</v>
      </c>
      <c r="E9" s="4">
        <v>1.3333333333333299E-2</v>
      </c>
    </row>
    <row r="10" spans="1:5" x14ac:dyDescent="0.25">
      <c r="A10" s="5">
        <v>7</v>
      </c>
      <c r="B10" t="s">
        <v>204</v>
      </c>
      <c r="C10" s="5" t="s">
        <v>197</v>
      </c>
      <c r="D10" t="s">
        <v>205</v>
      </c>
      <c r="E10" s="4">
        <v>1.34375E-2</v>
      </c>
    </row>
    <row r="11" spans="1:5" x14ac:dyDescent="0.25">
      <c r="A11" s="5">
        <v>8</v>
      </c>
      <c r="B11" t="s">
        <v>206</v>
      </c>
      <c r="C11" s="5" t="s">
        <v>197</v>
      </c>
      <c r="D11" t="s">
        <v>26</v>
      </c>
      <c r="E11" s="4">
        <v>1.34837962962962E-2</v>
      </c>
    </row>
    <row r="12" spans="1:5" x14ac:dyDescent="0.25">
      <c r="A12" s="5">
        <v>9</v>
      </c>
      <c r="B12" t="s">
        <v>207</v>
      </c>
      <c r="C12" s="5" t="s">
        <v>197</v>
      </c>
      <c r="D12" t="s">
        <v>208</v>
      </c>
      <c r="E12" s="4">
        <v>1.35648148148148E-2</v>
      </c>
    </row>
    <row r="13" spans="1:5" x14ac:dyDescent="0.25">
      <c r="A13" s="5">
        <v>10</v>
      </c>
      <c r="B13" t="s">
        <v>209</v>
      </c>
      <c r="C13" s="5" t="s">
        <v>210</v>
      </c>
      <c r="D13" t="s">
        <v>41</v>
      </c>
      <c r="E13" s="4">
        <v>1.38078703703703E-2</v>
      </c>
    </row>
    <row r="14" spans="1:5" x14ac:dyDescent="0.25">
      <c r="A14" s="5">
        <v>11</v>
      </c>
      <c r="B14" t="s">
        <v>211</v>
      </c>
      <c r="C14" s="5" t="s">
        <v>210</v>
      </c>
      <c r="D14" t="s">
        <v>32</v>
      </c>
      <c r="E14" s="4">
        <v>1.39236111111111E-2</v>
      </c>
    </row>
    <row r="15" spans="1:5" x14ac:dyDescent="0.25">
      <c r="A15" s="5">
        <v>12</v>
      </c>
      <c r="B15" t="s">
        <v>212</v>
      </c>
      <c r="C15" s="5" t="s">
        <v>199</v>
      </c>
      <c r="D15" t="s">
        <v>19</v>
      </c>
      <c r="E15" s="4">
        <v>1.39930555555555E-2</v>
      </c>
    </row>
    <row r="16" spans="1:5" x14ac:dyDescent="0.25">
      <c r="A16" s="5">
        <v>13</v>
      </c>
      <c r="B16" t="s">
        <v>213</v>
      </c>
      <c r="C16" s="5" t="s">
        <v>210</v>
      </c>
      <c r="D16" t="s">
        <v>45</v>
      </c>
      <c r="E16" s="4">
        <v>1.4050925925925901E-2</v>
      </c>
    </row>
    <row r="17" spans="1:5" x14ac:dyDescent="0.25">
      <c r="A17" s="5">
        <v>14</v>
      </c>
      <c r="B17" t="s">
        <v>214</v>
      </c>
      <c r="C17" s="5" t="s">
        <v>199</v>
      </c>
      <c r="D17" t="s">
        <v>26</v>
      </c>
      <c r="E17" s="4">
        <v>1.4120370370370301E-2</v>
      </c>
    </row>
    <row r="18" spans="1:5" x14ac:dyDescent="0.25">
      <c r="A18" s="5">
        <v>15</v>
      </c>
      <c r="B18" t="s">
        <v>215</v>
      </c>
      <c r="C18" s="5" t="s">
        <v>197</v>
      </c>
      <c r="D18" t="s">
        <v>216</v>
      </c>
      <c r="E18" s="4">
        <v>1.4120370370370301E-2</v>
      </c>
    </row>
    <row r="19" spans="1:5" x14ac:dyDescent="0.25">
      <c r="A19" s="5">
        <v>16</v>
      </c>
      <c r="B19" t="s">
        <v>217</v>
      </c>
      <c r="C19" s="5" t="s">
        <v>218</v>
      </c>
      <c r="D19" t="s">
        <v>219</v>
      </c>
      <c r="E19" s="4">
        <v>1.41666666666666E-2</v>
      </c>
    </row>
    <row r="20" spans="1:5" x14ac:dyDescent="0.25">
      <c r="A20" s="5">
        <v>17</v>
      </c>
      <c r="B20" t="s">
        <v>220</v>
      </c>
      <c r="C20" s="5" t="s">
        <v>199</v>
      </c>
      <c r="D20" t="s">
        <v>41</v>
      </c>
      <c r="E20" s="4">
        <v>1.42129629629629E-2</v>
      </c>
    </row>
    <row r="21" spans="1:5" x14ac:dyDescent="0.25">
      <c r="A21" s="5">
        <v>18</v>
      </c>
      <c r="B21" t="s">
        <v>221</v>
      </c>
      <c r="C21" s="5" t="s">
        <v>218</v>
      </c>
      <c r="D21" t="s">
        <v>45</v>
      </c>
      <c r="E21" s="4">
        <v>1.42361111111111E-2</v>
      </c>
    </row>
    <row r="22" spans="1:5" x14ac:dyDescent="0.25">
      <c r="A22" s="5">
        <v>19</v>
      </c>
      <c r="B22" t="s">
        <v>222</v>
      </c>
      <c r="C22" s="5" t="s">
        <v>210</v>
      </c>
      <c r="D22" t="s">
        <v>7</v>
      </c>
      <c r="E22" s="4">
        <v>1.4398148148148099E-2</v>
      </c>
    </row>
    <row r="23" spans="1:5" x14ac:dyDescent="0.25">
      <c r="A23" s="5">
        <v>20</v>
      </c>
      <c r="B23" t="s">
        <v>223</v>
      </c>
      <c r="C23" s="5" t="s">
        <v>197</v>
      </c>
      <c r="D23" t="s">
        <v>83</v>
      </c>
      <c r="E23" s="4">
        <v>1.4421296296296199E-2</v>
      </c>
    </row>
    <row r="24" spans="1:5" x14ac:dyDescent="0.25">
      <c r="A24" s="5">
        <v>21</v>
      </c>
      <c r="B24" t="s">
        <v>224</v>
      </c>
      <c r="C24" s="5" t="s">
        <v>199</v>
      </c>
      <c r="D24" t="s">
        <v>32</v>
      </c>
      <c r="E24" s="4">
        <v>1.4502314814814799E-2</v>
      </c>
    </row>
    <row r="25" spans="1:5" x14ac:dyDescent="0.25">
      <c r="A25" s="5">
        <v>22</v>
      </c>
      <c r="B25" t="s">
        <v>225</v>
      </c>
      <c r="C25" s="5" t="s">
        <v>199</v>
      </c>
      <c r="D25" t="s">
        <v>32</v>
      </c>
      <c r="E25" s="4">
        <v>1.46643518518518E-2</v>
      </c>
    </row>
    <row r="26" spans="1:5" x14ac:dyDescent="0.25">
      <c r="A26" s="5">
        <v>23</v>
      </c>
      <c r="B26" t="s">
        <v>226</v>
      </c>
      <c r="C26" s="5" t="s">
        <v>199</v>
      </c>
      <c r="D26" t="s">
        <v>32</v>
      </c>
      <c r="E26" s="4">
        <v>1.4687499999999999E-2</v>
      </c>
    </row>
    <row r="27" spans="1:5" x14ac:dyDescent="0.25">
      <c r="A27" s="5">
        <v>24</v>
      </c>
      <c r="B27" t="s">
        <v>227</v>
      </c>
      <c r="C27" s="5" t="s">
        <v>218</v>
      </c>
      <c r="D27" t="s">
        <v>228</v>
      </c>
      <c r="E27" s="4">
        <v>1.4756944444444401E-2</v>
      </c>
    </row>
    <row r="28" spans="1:5" x14ac:dyDescent="0.25">
      <c r="A28" s="5">
        <v>25</v>
      </c>
      <c r="B28" t="s">
        <v>229</v>
      </c>
      <c r="C28" s="5" t="s">
        <v>218</v>
      </c>
      <c r="D28" t="s">
        <v>19</v>
      </c>
      <c r="E28" s="4">
        <v>1.48148148148148E-2</v>
      </c>
    </row>
    <row r="29" spans="1:5" x14ac:dyDescent="0.25">
      <c r="A29" s="5">
        <v>26</v>
      </c>
      <c r="B29" t="s">
        <v>230</v>
      </c>
      <c r="C29" s="5" t="s">
        <v>231</v>
      </c>
      <c r="D29" t="s">
        <v>232</v>
      </c>
      <c r="E29" s="4">
        <v>1.48148148148148E-2</v>
      </c>
    </row>
    <row r="30" spans="1:5" x14ac:dyDescent="0.25">
      <c r="A30" s="5">
        <v>27</v>
      </c>
      <c r="B30" t="s">
        <v>233</v>
      </c>
      <c r="C30" s="5" t="s">
        <v>199</v>
      </c>
      <c r="D30" t="s">
        <v>19</v>
      </c>
      <c r="E30" s="4">
        <v>1.48263888888888E-2</v>
      </c>
    </row>
    <row r="31" spans="1:5" x14ac:dyDescent="0.25">
      <c r="A31" s="5">
        <v>28</v>
      </c>
      <c r="B31" t="s">
        <v>234</v>
      </c>
      <c r="C31" s="5" t="s">
        <v>235</v>
      </c>
      <c r="D31" t="s">
        <v>83</v>
      </c>
      <c r="E31" s="4">
        <v>1.4849537037037E-2</v>
      </c>
    </row>
    <row r="32" spans="1:5" x14ac:dyDescent="0.25">
      <c r="A32" s="5">
        <v>29</v>
      </c>
      <c r="B32" t="s">
        <v>236</v>
      </c>
      <c r="C32" s="5" t="s">
        <v>197</v>
      </c>
      <c r="D32" t="s">
        <v>35</v>
      </c>
      <c r="E32" s="4">
        <v>1.48726851851851E-2</v>
      </c>
    </row>
    <row r="33" spans="1:5" x14ac:dyDescent="0.25">
      <c r="A33" s="5">
        <v>30</v>
      </c>
      <c r="B33" t="s">
        <v>237</v>
      </c>
      <c r="C33" s="5" t="s">
        <v>199</v>
      </c>
      <c r="D33" t="s">
        <v>35</v>
      </c>
      <c r="E33" s="4">
        <v>1.48726851851851E-2</v>
      </c>
    </row>
    <row r="34" spans="1:5" x14ac:dyDescent="0.25">
      <c r="A34" s="5">
        <v>31</v>
      </c>
      <c r="B34" t="s">
        <v>238</v>
      </c>
      <c r="C34" s="5" t="s">
        <v>210</v>
      </c>
      <c r="D34" t="s">
        <v>219</v>
      </c>
      <c r="E34" s="4">
        <v>1.48842592592592E-2</v>
      </c>
    </row>
    <row r="35" spans="1:5" x14ac:dyDescent="0.25">
      <c r="A35" s="5">
        <v>32</v>
      </c>
      <c r="B35" t="s">
        <v>239</v>
      </c>
      <c r="C35" s="5" t="s">
        <v>199</v>
      </c>
      <c r="D35" t="s">
        <v>35</v>
      </c>
      <c r="E35" s="4">
        <v>1.4895833333333299E-2</v>
      </c>
    </row>
    <row r="36" spans="1:5" x14ac:dyDescent="0.25">
      <c r="A36" s="5">
        <v>33</v>
      </c>
      <c r="B36" t="s">
        <v>240</v>
      </c>
      <c r="C36" s="5" t="s">
        <v>218</v>
      </c>
      <c r="D36" t="s">
        <v>241</v>
      </c>
      <c r="E36" s="4">
        <v>1.5011574074074E-2</v>
      </c>
    </row>
    <row r="37" spans="1:5" x14ac:dyDescent="0.25">
      <c r="A37" s="5">
        <v>34</v>
      </c>
      <c r="B37" t="s">
        <v>242</v>
      </c>
      <c r="C37" s="5" t="s">
        <v>218</v>
      </c>
      <c r="D37" t="s">
        <v>51</v>
      </c>
      <c r="E37" s="4">
        <v>1.50925925925925E-2</v>
      </c>
    </row>
    <row r="38" spans="1:5" x14ac:dyDescent="0.25">
      <c r="A38" s="5">
        <v>35</v>
      </c>
      <c r="B38" t="s">
        <v>243</v>
      </c>
      <c r="C38" s="5" t="s">
        <v>197</v>
      </c>
      <c r="D38" t="s">
        <v>26</v>
      </c>
      <c r="E38" s="4">
        <v>1.51736111111111E-2</v>
      </c>
    </row>
    <row r="39" spans="1:5" x14ac:dyDescent="0.25">
      <c r="A39" s="5">
        <v>36</v>
      </c>
      <c r="B39" t="s">
        <v>244</v>
      </c>
      <c r="C39" s="5" t="s">
        <v>199</v>
      </c>
      <c r="D39" t="s">
        <v>41</v>
      </c>
      <c r="E39" s="4">
        <v>1.5219907407407401E-2</v>
      </c>
    </row>
    <row r="40" spans="1:5" x14ac:dyDescent="0.25">
      <c r="A40" s="5">
        <v>37</v>
      </c>
      <c r="B40" t="s">
        <v>245</v>
      </c>
      <c r="C40" s="5" t="s">
        <v>210</v>
      </c>
      <c r="D40" t="s">
        <v>83</v>
      </c>
      <c r="E40" s="4">
        <v>1.52314814814814E-2</v>
      </c>
    </row>
    <row r="41" spans="1:5" x14ac:dyDescent="0.25">
      <c r="A41" s="5">
        <v>38</v>
      </c>
      <c r="B41" t="s">
        <v>246</v>
      </c>
      <c r="C41" s="5" t="s">
        <v>218</v>
      </c>
      <c r="D41" t="s">
        <v>219</v>
      </c>
      <c r="E41" s="4">
        <v>1.5243055555555499E-2</v>
      </c>
    </row>
    <row r="42" spans="1:5" x14ac:dyDescent="0.25">
      <c r="A42" s="5">
        <v>39</v>
      </c>
      <c r="B42" t="s">
        <v>247</v>
      </c>
      <c r="C42" s="5" t="s">
        <v>197</v>
      </c>
      <c r="D42" t="s">
        <v>83</v>
      </c>
      <c r="E42" s="4">
        <v>1.5243055555555499E-2</v>
      </c>
    </row>
    <row r="43" spans="1:5" x14ac:dyDescent="0.25">
      <c r="A43" s="5">
        <v>40</v>
      </c>
      <c r="B43" t="s">
        <v>248</v>
      </c>
      <c r="C43" s="5" t="s">
        <v>235</v>
      </c>
      <c r="D43" t="s">
        <v>41</v>
      </c>
      <c r="E43" s="4">
        <v>1.5289351851851801E-2</v>
      </c>
    </row>
    <row r="44" spans="1:5" x14ac:dyDescent="0.25">
      <c r="A44" s="5">
        <v>41</v>
      </c>
      <c r="B44" t="s">
        <v>249</v>
      </c>
      <c r="C44" s="5" t="s">
        <v>197</v>
      </c>
      <c r="D44" t="s">
        <v>250</v>
      </c>
      <c r="E44" s="4">
        <v>1.5324074074074E-2</v>
      </c>
    </row>
    <row r="45" spans="1:5" x14ac:dyDescent="0.25">
      <c r="A45" s="5">
        <v>42</v>
      </c>
      <c r="B45" t="s">
        <v>251</v>
      </c>
      <c r="C45" s="5" t="s">
        <v>199</v>
      </c>
      <c r="D45" t="s">
        <v>11</v>
      </c>
      <c r="E45" s="4">
        <v>1.54398148148148E-2</v>
      </c>
    </row>
    <row r="46" spans="1:5" x14ac:dyDescent="0.25">
      <c r="A46" s="5">
        <v>43</v>
      </c>
      <c r="B46" t="s">
        <v>252</v>
      </c>
      <c r="C46" s="5" t="s">
        <v>210</v>
      </c>
      <c r="D46" t="s">
        <v>253</v>
      </c>
      <c r="E46" s="4">
        <v>1.5497685185185101E-2</v>
      </c>
    </row>
    <row r="47" spans="1:5" x14ac:dyDescent="0.25">
      <c r="A47" s="5">
        <v>44</v>
      </c>
      <c r="B47" t="s">
        <v>254</v>
      </c>
      <c r="C47" s="5" t="s">
        <v>218</v>
      </c>
      <c r="D47" t="s">
        <v>41</v>
      </c>
      <c r="E47" s="4">
        <v>1.5497685185185101E-2</v>
      </c>
    </row>
    <row r="48" spans="1:5" x14ac:dyDescent="0.25">
      <c r="A48" s="5">
        <v>45</v>
      </c>
      <c r="B48" t="s">
        <v>255</v>
      </c>
      <c r="C48" s="5" t="s">
        <v>210</v>
      </c>
      <c r="D48" t="s">
        <v>19</v>
      </c>
      <c r="E48" s="4">
        <v>1.55208333333333E-2</v>
      </c>
    </row>
    <row r="49" spans="1:5" x14ac:dyDescent="0.25">
      <c r="A49" s="5">
        <v>46</v>
      </c>
      <c r="B49" t="s">
        <v>256</v>
      </c>
      <c r="C49" s="5" t="s">
        <v>218</v>
      </c>
      <c r="D49" t="s">
        <v>83</v>
      </c>
      <c r="E49" s="4">
        <v>1.5706018518518501E-2</v>
      </c>
    </row>
    <row r="50" spans="1:5" x14ac:dyDescent="0.25">
      <c r="A50" s="5">
        <v>47</v>
      </c>
      <c r="B50" t="s">
        <v>257</v>
      </c>
      <c r="C50" s="5" t="s">
        <v>218</v>
      </c>
      <c r="D50" t="s">
        <v>41</v>
      </c>
      <c r="E50" s="4">
        <v>1.5706018518518501E-2</v>
      </c>
    </row>
    <row r="51" spans="1:5" x14ac:dyDescent="0.25">
      <c r="A51" s="5">
        <v>48</v>
      </c>
      <c r="B51" t="s">
        <v>258</v>
      </c>
      <c r="C51" s="5" t="s">
        <v>259</v>
      </c>
      <c r="D51" t="s">
        <v>260</v>
      </c>
      <c r="E51" s="4">
        <v>1.5752314814814799E-2</v>
      </c>
    </row>
    <row r="52" spans="1:5" x14ac:dyDescent="0.25">
      <c r="A52" s="5">
        <v>49</v>
      </c>
      <c r="B52" t="s">
        <v>261</v>
      </c>
      <c r="C52" s="5" t="s">
        <v>235</v>
      </c>
      <c r="D52" t="s">
        <v>51</v>
      </c>
      <c r="E52" s="4">
        <v>1.59375E-2</v>
      </c>
    </row>
    <row r="53" spans="1:5" x14ac:dyDescent="0.25">
      <c r="A53" s="5">
        <v>50</v>
      </c>
      <c r="B53" t="s">
        <v>262</v>
      </c>
      <c r="C53" s="5" t="s">
        <v>218</v>
      </c>
      <c r="D53" t="s">
        <v>19</v>
      </c>
      <c r="E53" s="4">
        <v>1.6030092592592499E-2</v>
      </c>
    </row>
    <row r="54" spans="1:5" x14ac:dyDescent="0.25">
      <c r="A54" s="5">
        <v>51</v>
      </c>
      <c r="B54" t="s">
        <v>263</v>
      </c>
      <c r="C54" s="5" t="s">
        <v>210</v>
      </c>
      <c r="D54" t="s">
        <v>26</v>
      </c>
      <c r="E54" s="4">
        <v>1.6157407407407402E-2</v>
      </c>
    </row>
    <row r="55" spans="1:5" x14ac:dyDescent="0.25">
      <c r="A55" s="5">
        <v>52</v>
      </c>
      <c r="B55" t="s">
        <v>264</v>
      </c>
      <c r="C55" s="5" t="s">
        <v>218</v>
      </c>
      <c r="D55" t="s">
        <v>51</v>
      </c>
      <c r="E55" s="4">
        <v>1.6203703703703699E-2</v>
      </c>
    </row>
    <row r="56" spans="1:5" x14ac:dyDescent="0.25">
      <c r="A56" s="5">
        <v>53</v>
      </c>
      <c r="B56" t="s">
        <v>265</v>
      </c>
      <c r="C56" s="5" t="s">
        <v>235</v>
      </c>
      <c r="D56" t="s">
        <v>32</v>
      </c>
      <c r="E56" s="4">
        <v>1.6238425925925899E-2</v>
      </c>
    </row>
    <row r="57" spans="1:5" x14ac:dyDescent="0.25">
      <c r="A57" s="5">
        <v>54</v>
      </c>
      <c r="B57" t="s">
        <v>266</v>
      </c>
      <c r="C57" s="5" t="s">
        <v>218</v>
      </c>
      <c r="D57" t="s">
        <v>241</v>
      </c>
      <c r="E57" s="4">
        <v>1.6273148148148099E-2</v>
      </c>
    </row>
    <row r="58" spans="1:5" x14ac:dyDescent="0.25">
      <c r="A58" s="5">
        <v>55</v>
      </c>
      <c r="B58" t="s">
        <v>267</v>
      </c>
      <c r="C58" s="5" t="s">
        <v>235</v>
      </c>
      <c r="D58" t="s">
        <v>22</v>
      </c>
      <c r="E58" s="4">
        <v>1.62847222222222E-2</v>
      </c>
    </row>
    <row r="59" spans="1:5" x14ac:dyDescent="0.25">
      <c r="A59" s="5">
        <v>56</v>
      </c>
      <c r="B59" t="s">
        <v>268</v>
      </c>
      <c r="C59" s="5" t="s">
        <v>218</v>
      </c>
      <c r="D59" t="s">
        <v>51</v>
      </c>
      <c r="E59" s="4">
        <v>1.62847222222222E-2</v>
      </c>
    </row>
    <row r="60" spans="1:5" x14ac:dyDescent="0.25">
      <c r="A60" s="5">
        <v>57</v>
      </c>
      <c r="B60" t="s">
        <v>269</v>
      </c>
      <c r="C60" s="5" t="s">
        <v>210</v>
      </c>
      <c r="D60" t="s">
        <v>32</v>
      </c>
      <c r="E60" s="4">
        <v>1.63194444444444E-2</v>
      </c>
    </row>
    <row r="61" spans="1:5" x14ac:dyDescent="0.25">
      <c r="A61" s="5">
        <v>58</v>
      </c>
      <c r="B61" t="s">
        <v>270</v>
      </c>
      <c r="C61" s="5" t="s">
        <v>231</v>
      </c>
      <c r="D61" t="s">
        <v>241</v>
      </c>
      <c r="E61" s="4">
        <v>1.6342592592592499E-2</v>
      </c>
    </row>
    <row r="62" spans="1:5" x14ac:dyDescent="0.25">
      <c r="A62" s="5">
        <v>59</v>
      </c>
      <c r="B62" t="s">
        <v>271</v>
      </c>
      <c r="C62" s="5" t="s">
        <v>197</v>
      </c>
      <c r="D62" t="s">
        <v>83</v>
      </c>
      <c r="E62" s="4">
        <v>1.6342592592592499E-2</v>
      </c>
    </row>
    <row r="63" spans="1:5" x14ac:dyDescent="0.25">
      <c r="A63" s="5">
        <v>60</v>
      </c>
      <c r="B63" t="s">
        <v>272</v>
      </c>
      <c r="C63" s="5" t="s">
        <v>199</v>
      </c>
      <c r="D63" t="s">
        <v>45</v>
      </c>
      <c r="E63" s="4">
        <v>1.63541666666666E-2</v>
      </c>
    </row>
    <row r="64" spans="1:5" x14ac:dyDescent="0.25">
      <c r="A64" s="5">
        <v>61</v>
      </c>
      <c r="B64" t="s">
        <v>273</v>
      </c>
      <c r="C64" s="5" t="s">
        <v>235</v>
      </c>
      <c r="D64" t="s">
        <v>51</v>
      </c>
      <c r="E64" s="4">
        <v>1.63541666666666E-2</v>
      </c>
    </row>
    <row r="65" spans="1:5" x14ac:dyDescent="0.25">
      <c r="A65" s="5">
        <v>62</v>
      </c>
      <c r="B65" t="s">
        <v>274</v>
      </c>
      <c r="C65" s="5" t="s">
        <v>235</v>
      </c>
      <c r="D65" t="s">
        <v>19</v>
      </c>
      <c r="E65" s="4">
        <v>1.63888888888888E-2</v>
      </c>
    </row>
    <row r="66" spans="1:5" x14ac:dyDescent="0.25">
      <c r="A66" s="5">
        <v>63</v>
      </c>
      <c r="B66" t="s">
        <v>275</v>
      </c>
      <c r="C66" s="5" t="s">
        <v>199</v>
      </c>
      <c r="D66" t="s">
        <v>276</v>
      </c>
      <c r="E66" s="4">
        <v>1.6412037037036999E-2</v>
      </c>
    </row>
    <row r="67" spans="1:5" x14ac:dyDescent="0.25">
      <c r="A67" s="5">
        <v>64</v>
      </c>
      <c r="B67" t="s">
        <v>277</v>
      </c>
      <c r="C67" s="5" t="s">
        <v>218</v>
      </c>
      <c r="D67" t="s">
        <v>51</v>
      </c>
      <c r="E67" s="4">
        <v>1.6423611111111101E-2</v>
      </c>
    </row>
    <row r="68" spans="1:5" x14ac:dyDescent="0.25">
      <c r="A68" s="5">
        <v>65</v>
      </c>
      <c r="B68" t="s">
        <v>278</v>
      </c>
      <c r="C68" s="5" t="s">
        <v>235</v>
      </c>
      <c r="D68" t="s">
        <v>41</v>
      </c>
      <c r="E68" s="4">
        <v>1.6435185185185101E-2</v>
      </c>
    </row>
    <row r="69" spans="1:5" x14ac:dyDescent="0.25">
      <c r="A69" s="5">
        <v>66</v>
      </c>
      <c r="B69" t="s">
        <v>279</v>
      </c>
      <c r="C69" s="5" t="s">
        <v>218</v>
      </c>
      <c r="D69">
        <v>0</v>
      </c>
      <c r="E69" s="4">
        <v>1.6446759259259199E-2</v>
      </c>
    </row>
    <row r="70" spans="1:5" x14ac:dyDescent="0.25">
      <c r="A70" s="5">
        <v>67</v>
      </c>
      <c r="B70" t="s">
        <v>280</v>
      </c>
      <c r="C70" s="5" t="s">
        <v>235</v>
      </c>
      <c r="D70" t="s">
        <v>281</v>
      </c>
      <c r="E70" s="4">
        <v>1.6446759259259199E-2</v>
      </c>
    </row>
    <row r="71" spans="1:5" x14ac:dyDescent="0.25">
      <c r="A71" s="5">
        <v>68</v>
      </c>
      <c r="B71" t="s">
        <v>282</v>
      </c>
      <c r="C71" s="5" t="s">
        <v>197</v>
      </c>
      <c r="D71" t="s">
        <v>241</v>
      </c>
      <c r="E71" s="4">
        <v>1.6585648148148099E-2</v>
      </c>
    </row>
    <row r="72" spans="1:5" x14ac:dyDescent="0.25">
      <c r="A72" s="5">
        <v>69</v>
      </c>
      <c r="B72" t="s">
        <v>283</v>
      </c>
      <c r="C72" s="5" t="s">
        <v>231</v>
      </c>
      <c r="D72" t="s">
        <v>41</v>
      </c>
      <c r="E72" s="4">
        <v>1.6608796296296201E-2</v>
      </c>
    </row>
    <row r="73" spans="1:5" x14ac:dyDescent="0.25">
      <c r="A73" s="5">
        <v>70</v>
      </c>
      <c r="B73" t="s">
        <v>284</v>
      </c>
      <c r="C73" s="5" t="s">
        <v>199</v>
      </c>
      <c r="D73" t="s">
        <v>11</v>
      </c>
      <c r="E73" s="4">
        <v>1.6655092592592499E-2</v>
      </c>
    </row>
    <row r="74" spans="1:5" x14ac:dyDescent="0.25">
      <c r="A74" s="5">
        <v>71</v>
      </c>
      <c r="B74" t="s">
        <v>285</v>
      </c>
      <c r="C74" s="5" t="s">
        <v>197</v>
      </c>
      <c r="D74" t="s">
        <v>7</v>
      </c>
      <c r="E74" s="4">
        <v>1.6759259259259199E-2</v>
      </c>
    </row>
    <row r="75" spans="1:5" x14ac:dyDescent="0.25">
      <c r="A75" s="5">
        <v>72</v>
      </c>
      <c r="B75" t="s">
        <v>286</v>
      </c>
      <c r="C75" s="5" t="s">
        <v>235</v>
      </c>
      <c r="D75" t="s">
        <v>62</v>
      </c>
      <c r="E75" s="4">
        <v>1.6770833333333301E-2</v>
      </c>
    </row>
    <row r="76" spans="1:5" x14ac:dyDescent="0.25">
      <c r="A76" s="5">
        <v>73</v>
      </c>
      <c r="B76" t="s">
        <v>287</v>
      </c>
      <c r="C76" s="5" t="s">
        <v>235</v>
      </c>
      <c r="D76" t="s">
        <v>11</v>
      </c>
      <c r="E76" s="4">
        <v>1.6793981481481399E-2</v>
      </c>
    </row>
    <row r="77" spans="1:5" x14ac:dyDescent="0.25">
      <c r="A77" s="5">
        <v>74</v>
      </c>
      <c r="B77" t="s">
        <v>288</v>
      </c>
      <c r="C77" s="5" t="s">
        <v>218</v>
      </c>
      <c r="D77" t="s">
        <v>219</v>
      </c>
      <c r="E77" s="4">
        <v>1.6944444444444401E-2</v>
      </c>
    </row>
    <row r="78" spans="1:5" x14ac:dyDescent="0.25">
      <c r="A78" s="5">
        <v>75</v>
      </c>
      <c r="B78" t="s">
        <v>289</v>
      </c>
      <c r="C78" s="5" t="s">
        <v>218</v>
      </c>
      <c r="D78" t="s">
        <v>45</v>
      </c>
      <c r="E78" s="4">
        <v>1.70023148148148E-2</v>
      </c>
    </row>
    <row r="79" spans="1:5" x14ac:dyDescent="0.25">
      <c r="A79" s="5">
        <v>76</v>
      </c>
      <c r="B79" t="s">
        <v>290</v>
      </c>
      <c r="C79" s="5" t="s">
        <v>199</v>
      </c>
      <c r="D79" t="s">
        <v>62</v>
      </c>
      <c r="E79" s="4">
        <v>1.7025462962962899E-2</v>
      </c>
    </row>
    <row r="80" spans="1:5" x14ac:dyDescent="0.25">
      <c r="A80" s="5">
        <v>77</v>
      </c>
      <c r="B80" t="s">
        <v>291</v>
      </c>
      <c r="C80" s="5" t="s">
        <v>199</v>
      </c>
      <c r="D80" t="s">
        <v>11</v>
      </c>
      <c r="E80" s="4">
        <v>1.70717592592592E-2</v>
      </c>
    </row>
    <row r="81" spans="1:5" x14ac:dyDescent="0.25">
      <c r="A81" s="5">
        <v>78</v>
      </c>
      <c r="B81" t="s">
        <v>292</v>
      </c>
      <c r="C81" s="5" t="s">
        <v>235</v>
      </c>
      <c r="D81" t="s">
        <v>62</v>
      </c>
      <c r="E81" s="4">
        <v>1.71064814814814E-2</v>
      </c>
    </row>
    <row r="82" spans="1:5" x14ac:dyDescent="0.25">
      <c r="A82" s="5">
        <v>79</v>
      </c>
      <c r="B82" t="s">
        <v>293</v>
      </c>
      <c r="C82" s="5" t="s">
        <v>197</v>
      </c>
      <c r="D82" t="s">
        <v>124</v>
      </c>
      <c r="E82" s="4">
        <v>1.7199074074073999E-2</v>
      </c>
    </row>
    <row r="83" spans="1:5" x14ac:dyDescent="0.25">
      <c r="A83" s="5">
        <v>80</v>
      </c>
      <c r="B83" t="s">
        <v>294</v>
      </c>
      <c r="C83" s="5" t="s">
        <v>210</v>
      </c>
      <c r="D83" t="s">
        <v>241</v>
      </c>
      <c r="E83" s="4">
        <v>1.72800925925925E-2</v>
      </c>
    </row>
    <row r="84" spans="1:5" x14ac:dyDescent="0.25">
      <c r="A84" s="5">
        <v>81</v>
      </c>
      <c r="B84" t="s">
        <v>295</v>
      </c>
      <c r="C84" s="5" t="s">
        <v>231</v>
      </c>
      <c r="D84" t="s">
        <v>51</v>
      </c>
      <c r="E84" s="4">
        <v>1.7303240740740699E-2</v>
      </c>
    </row>
    <row r="85" spans="1:5" x14ac:dyDescent="0.25">
      <c r="A85" s="5">
        <v>82</v>
      </c>
      <c r="B85" t="s">
        <v>296</v>
      </c>
      <c r="C85" s="5" t="s">
        <v>199</v>
      </c>
      <c r="D85" t="s">
        <v>26</v>
      </c>
      <c r="E85" s="4">
        <v>1.7361111111111101E-2</v>
      </c>
    </row>
    <row r="86" spans="1:5" x14ac:dyDescent="0.25">
      <c r="A86" s="5">
        <v>83</v>
      </c>
      <c r="B86" t="s">
        <v>297</v>
      </c>
      <c r="C86" s="5" t="s">
        <v>199</v>
      </c>
      <c r="D86" t="s">
        <v>219</v>
      </c>
      <c r="E86" s="4">
        <v>1.7395833333333301E-2</v>
      </c>
    </row>
    <row r="87" spans="1:5" x14ac:dyDescent="0.25">
      <c r="A87" s="5">
        <v>84</v>
      </c>
      <c r="B87" t="s">
        <v>298</v>
      </c>
      <c r="C87" s="5" t="s">
        <v>231</v>
      </c>
      <c r="D87" t="s">
        <v>124</v>
      </c>
      <c r="E87" s="4">
        <v>1.74537037037037E-2</v>
      </c>
    </row>
    <row r="88" spans="1:5" x14ac:dyDescent="0.25">
      <c r="A88" s="5">
        <v>85</v>
      </c>
      <c r="B88" t="s">
        <v>299</v>
      </c>
      <c r="C88" s="5" t="s">
        <v>231</v>
      </c>
      <c r="D88" t="s">
        <v>62</v>
      </c>
      <c r="E88" s="4">
        <v>1.7465277777777701E-2</v>
      </c>
    </row>
    <row r="89" spans="1:5" x14ac:dyDescent="0.25">
      <c r="A89" s="5">
        <v>86</v>
      </c>
      <c r="B89" t="s">
        <v>300</v>
      </c>
      <c r="C89" s="5" t="s">
        <v>231</v>
      </c>
      <c r="D89" t="s">
        <v>62</v>
      </c>
      <c r="E89" s="4">
        <v>1.7476851851851799E-2</v>
      </c>
    </row>
    <row r="90" spans="1:5" x14ac:dyDescent="0.25">
      <c r="A90" s="5">
        <v>87</v>
      </c>
      <c r="B90" t="s">
        <v>301</v>
      </c>
      <c r="C90" s="5" t="s">
        <v>210</v>
      </c>
      <c r="D90" t="s">
        <v>219</v>
      </c>
      <c r="E90" s="4">
        <v>1.7581018518518499E-2</v>
      </c>
    </row>
    <row r="91" spans="1:5" x14ac:dyDescent="0.25">
      <c r="A91" s="5">
        <v>88</v>
      </c>
      <c r="B91" t="s">
        <v>302</v>
      </c>
      <c r="C91" s="5" t="s">
        <v>210</v>
      </c>
      <c r="D91" t="s">
        <v>276</v>
      </c>
      <c r="E91" s="4">
        <v>1.7604166666666601E-2</v>
      </c>
    </row>
    <row r="92" spans="1:5" x14ac:dyDescent="0.25">
      <c r="A92" s="5">
        <v>89</v>
      </c>
      <c r="B92" t="s">
        <v>303</v>
      </c>
      <c r="C92" s="5" t="s">
        <v>231</v>
      </c>
      <c r="D92" t="s">
        <v>22</v>
      </c>
      <c r="E92" s="4">
        <v>1.7650462962962899E-2</v>
      </c>
    </row>
    <row r="93" spans="1:5" x14ac:dyDescent="0.25">
      <c r="A93" s="5">
        <v>90</v>
      </c>
      <c r="B93" t="s">
        <v>304</v>
      </c>
      <c r="C93" s="5" t="s">
        <v>210</v>
      </c>
      <c r="D93" t="s">
        <v>62</v>
      </c>
      <c r="E93" s="4">
        <v>1.7662037037037E-2</v>
      </c>
    </row>
    <row r="94" spans="1:5" x14ac:dyDescent="0.25">
      <c r="A94" s="5">
        <v>91</v>
      </c>
      <c r="B94" t="s">
        <v>305</v>
      </c>
      <c r="C94" s="5" t="s">
        <v>199</v>
      </c>
      <c r="D94" t="s">
        <v>113</v>
      </c>
      <c r="E94" s="4">
        <v>1.7708333333333302E-2</v>
      </c>
    </row>
    <row r="95" spans="1:5" x14ac:dyDescent="0.25">
      <c r="A95" s="5">
        <v>92</v>
      </c>
      <c r="B95" t="s">
        <v>306</v>
      </c>
      <c r="C95" s="5" t="s">
        <v>235</v>
      </c>
      <c r="D95" t="s">
        <v>35</v>
      </c>
      <c r="E95" s="4">
        <v>1.7708333333333302E-2</v>
      </c>
    </row>
    <row r="96" spans="1:5" x14ac:dyDescent="0.25">
      <c r="A96" s="5">
        <v>93</v>
      </c>
      <c r="B96" t="s">
        <v>307</v>
      </c>
      <c r="C96" s="5" t="s">
        <v>231</v>
      </c>
      <c r="D96" t="s">
        <v>241</v>
      </c>
      <c r="E96" s="4">
        <v>1.77199074074074E-2</v>
      </c>
    </row>
    <row r="97" spans="1:5" x14ac:dyDescent="0.25">
      <c r="A97" s="5">
        <v>94</v>
      </c>
      <c r="B97" t="s">
        <v>308</v>
      </c>
      <c r="C97" s="5" t="s">
        <v>231</v>
      </c>
      <c r="D97" t="s">
        <v>22</v>
      </c>
      <c r="E97" s="4">
        <v>1.77314814814814E-2</v>
      </c>
    </row>
    <row r="98" spans="1:5" x14ac:dyDescent="0.25">
      <c r="A98" s="5">
        <v>95</v>
      </c>
      <c r="B98" t="s">
        <v>309</v>
      </c>
      <c r="C98" s="5" t="s">
        <v>235</v>
      </c>
      <c r="D98" t="s">
        <v>219</v>
      </c>
      <c r="E98" s="4">
        <v>1.7766203703703701E-2</v>
      </c>
    </row>
    <row r="99" spans="1:5" x14ac:dyDescent="0.25">
      <c r="A99" s="5">
        <v>96</v>
      </c>
      <c r="B99" t="s">
        <v>310</v>
      </c>
      <c r="C99" s="5" t="s">
        <v>199</v>
      </c>
      <c r="D99" t="s">
        <v>219</v>
      </c>
      <c r="E99" s="4">
        <v>1.7777777777777701E-2</v>
      </c>
    </row>
    <row r="100" spans="1:5" x14ac:dyDescent="0.25">
      <c r="A100" s="5">
        <v>97</v>
      </c>
      <c r="B100" t="s">
        <v>311</v>
      </c>
      <c r="C100" s="5" t="s">
        <v>235</v>
      </c>
      <c r="D100" t="s">
        <v>276</v>
      </c>
      <c r="E100" s="4">
        <v>1.78935185185185E-2</v>
      </c>
    </row>
    <row r="101" spans="1:5" x14ac:dyDescent="0.25">
      <c r="A101" s="5">
        <v>98</v>
      </c>
      <c r="B101" t="s">
        <v>312</v>
      </c>
      <c r="C101" s="5" t="s">
        <v>218</v>
      </c>
      <c r="D101" t="s">
        <v>35</v>
      </c>
      <c r="E101" s="4">
        <v>1.78935185185185E-2</v>
      </c>
    </row>
    <row r="102" spans="1:5" x14ac:dyDescent="0.25">
      <c r="A102" s="5">
        <v>99</v>
      </c>
      <c r="B102" t="s">
        <v>313</v>
      </c>
      <c r="C102" s="5" t="s">
        <v>199</v>
      </c>
      <c r="D102" t="s">
        <v>119</v>
      </c>
      <c r="E102" s="4">
        <v>1.78935185185185E-2</v>
      </c>
    </row>
    <row r="103" spans="1:5" x14ac:dyDescent="0.25">
      <c r="A103" s="5">
        <v>100</v>
      </c>
      <c r="B103" t="s">
        <v>314</v>
      </c>
      <c r="C103" s="5" t="s">
        <v>235</v>
      </c>
      <c r="D103" t="s">
        <v>51</v>
      </c>
      <c r="E103" s="4">
        <v>1.7974537037037001E-2</v>
      </c>
    </row>
    <row r="104" spans="1:5" x14ac:dyDescent="0.25">
      <c r="A104" s="5">
        <v>101</v>
      </c>
      <c r="B104" t="s">
        <v>315</v>
      </c>
      <c r="C104" s="5" t="s">
        <v>235</v>
      </c>
      <c r="D104" t="s">
        <v>62</v>
      </c>
      <c r="E104" s="4">
        <v>1.8009259259259201E-2</v>
      </c>
    </row>
    <row r="105" spans="1:5" x14ac:dyDescent="0.25">
      <c r="A105" s="5">
        <v>102</v>
      </c>
      <c r="B105" t="s">
        <v>316</v>
      </c>
      <c r="C105" s="5" t="s">
        <v>218</v>
      </c>
      <c r="D105" t="s">
        <v>241</v>
      </c>
      <c r="E105" s="4">
        <v>1.8020833333333298E-2</v>
      </c>
    </row>
    <row r="106" spans="1:5" x14ac:dyDescent="0.25">
      <c r="A106" s="5">
        <v>103</v>
      </c>
      <c r="B106" t="s">
        <v>317</v>
      </c>
      <c r="C106" s="5" t="s">
        <v>235</v>
      </c>
      <c r="D106" t="s">
        <v>219</v>
      </c>
      <c r="E106" s="4">
        <v>1.8055555555555498E-2</v>
      </c>
    </row>
    <row r="107" spans="1:5" x14ac:dyDescent="0.25">
      <c r="A107" s="5">
        <v>104</v>
      </c>
      <c r="B107" t="s">
        <v>318</v>
      </c>
      <c r="C107" s="5" t="s">
        <v>231</v>
      </c>
      <c r="D107" t="s">
        <v>219</v>
      </c>
      <c r="E107" s="4">
        <v>1.80671296296296E-2</v>
      </c>
    </row>
    <row r="108" spans="1:5" x14ac:dyDescent="0.25">
      <c r="A108" s="5">
        <v>105</v>
      </c>
      <c r="B108" t="s">
        <v>319</v>
      </c>
      <c r="C108" s="5" t="s">
        <v>210</v>
      </c>
      <c r="D108" t="s">
        <v>241</v>
      </c>
      <c r="E108" s="4">
        <v>1.8148148148148101E-2</v>
      </c>
    </row>
    <row r="109" spans="1:5" x14ac:dyDescent="0.25">
      <c r="A109" s="5">
        <v>106</v>
      </c>
      <c r="B109" t="s">
        <v>320</v>
      </c>
      <c r="C109" s="5" t="s">
        <v>199</v>
      </c>
      <c r="D109" t="s">
        <v>41</v>
      </c>
      <c r="E109" s="4">
        <v>1.8159722222222199E-2</v>
      </c>
    </row>
    <row r="110" spans="1:5" x14ac:dyDescent="0.25">
      <c r="A110" s="5">
        <v>107</v>
      </c>
      <c r="B110" t="s">
        <v>321</v>
      </c>
      <c r="C110" s="5" t="s">
        <v>231</v>
      </c>
      <c r="D110" t="s">
        <v>276</v>
      </c>
      <c r="E110" s="4">
        <v>1.8333333333333299E-2</v>
      </c>
    </row>
    <row r="111" spans="1:5" x14ac:dyDescent="0.25">
      <c r="A111" s="5">
        <v>108</v>
      </c>
      <c r="B111" t="s">
        <v>322</v>
      </c>
      <c r="C111" s="5" t="s">
        <v>235</v>
      </c>
      <c r="D111" t="s">
        <v>41</v>
      </c>
      <c r="E111" s="4">
        <v>1.8530092592592501E-2</v>
      </c>
    </row>
    <row r="112" spans="1:5" x14ac:dyDescent="0.25">
      <c r="A112" s="5">
        <v>109</v>
      </c>
      <c r="B112" t="s">
        <v>323</v>
      </c>
      <c r="C112" s="5" t="s">
        <v>231</v>
      </c>
      <c r="D112" t="s">
        <v>62</v>
      </c>
      <c r="E112" s="4">
        <v>1.8576388888888799E-2</v>
      </c>
    </row>
    <row r="113" spans="1:5" x14ac:dyDescent="0.25">
      <c r="A113" s="5">
        <v>110</v>
      </c>
      <c r="B113" t="s">
        <v>324</v>
      </c>
      <c r="C113" s="5" t="s">
        <v>259</v>
      </c>
      <c r="D113" t="s">
        <v>325</v>
      </c>
      <c r="E113" s="4">
        <v>1.8668981481481401E-2</v>
      </c>
    </row>
    <row r="114" spans="1:5" x14ac:dyDescent="0.25">
      <c r="A114" s="5">
        <v>111</v>
      </c>
      <c r="B114" t="s">
        <v>326</v>
      </c>
      <c r="C114" s="5" t="s">
        <v>197</v>
      </c>
      <c r="D114">
        <v>0</v>
      </c>
      <c r="E114" s="4">
        <v>1.8703703703703702E-2</v>
      </c>
    </row>
    <row r="115" spans="1:5" x14ac:dyDescent="0.25">
      <c r="A115" s="5">
        <v>112</v>
      </c>
      <c r="B115" t="s">
        <v>327</v>
      </c>
      <c r="C115" s="5" t="s">
        <v>235</v>
      </c>
      <c r="D115" t="s">
        <v>241</v>
      </c>
      <c r="E115" s="4">
        <v>1.8715277777777699E-2</v>
      </c>
    </row>
    <row r="116" spans="1:5" x14ac:dyDescent="0.25">
      <c r="A116" s="5">
        <v>113</v>
      </c>
      <c r="B116" t="s">
        <v>328</v>
      </c>
      <c r="C116" s="5" t="s">
        <v>218</v>
      </c>
      <c r="D116" t="s">
        <v>276</v>
      </c>
      <c r="E116" s="4">
        <v>1.8715277777777699E-2</v>
      </c>
    </row>
    <row r="117" spans="1:5" x14ac:dyDescent="0.25">
      <c r="A117" s="5">
        <v>114</v>
      </c>
      <c r="B117" t="s">
        <v>329</v>
      </c>
      <c r="C117" s="5" t="s">
        <v>197</v>
      </c>
      <c r="D117" t="s">
        <v>62</v>
      </c>
      <c r="E117" s="4">
        <v>1.87268518518518E-2</v>
      </c>
    </row>
    <row r="118" spans="1:5" x14ac:dyDescent="0.25">
      <c r="A118" s="5">
        <v>115</v>
      </c>
      <c r="B118" t="s">
        <v>330</v>
      </c>
      <c r="C118" s="5" t="s">
        <v>218</v>
      </c>
      <c r="D118" t="s">
        <v>35</v>
      </c>
      <c r="E118" s="4">
        <v>1.8738425925925901E-2</v>
      </c>
    </row>
    <row r="119" spans="1:5" x14ac:dyDescent="0.25">
      <c r="A119" s="5">
        <v>116</v>
      </c>
      <c r="B119" t="s">
        <v>331</v>
      </c>
      <c r="C119" s="5" t="s">
        <v>231</v>
      </c>
      <c r="D119" t="s">
        <v>11</v>
      </c>
      <c r="E119" s="4">
        <v>1.8807870370370301E-2</v>
      </c>
    </row>
    <row r="120" spans="1:5" x14ac:dyDescent="0.25">
      <c r="A120" s="5">
        <v>117</v>
      </c>
      <c r="B120" t="s">
        <v>332</v>
      </c>
      <c r="C120" s="5" t="s">
        <v>199</v>
      </c>
      <c r="D120" t="s">
        <v>119</v>
      </c>
      <c r="E120" s="4">
        <v>1.8842592592592501E-2</v>
      </c>
    </row>
    <row r="121" spans="1:5" x14ac:dyDescent="0.25">
      <c r="A121" s="5">
        <v>118</v>
      </c>
      <c r="B121" t="s">
        <v>333</v>
      </c>
      <c r="C121" s="5" t="s">
        <v>197</v>
      </c>
      <c r="D121" t="s">
        <v>32</v>
      </c>
      <c r="E121" s="4">
        <v>1.8958333333333299E-2</v>
      </c>
    </row>
    <row r="122" spans="1:5" x14ac:dyDescent="0.25">
      <c r="A122" s="5">
        <v>119</v>
      </c>
      <c r="B122" t="s">
        <v>334</v>
      </c>
      <c r="C122" s="5" t="s">
        <v>218</v>
      </c>
      <c r="D122" t="s">
        <v>119</v>
      </c>
      <c r="E122" s="4">
        <v>1.9050925925925902E-2</v>
      </c>
    </row>
    <row r="123" spans="1:5" x14ac:dyDescent="0.25">
      <c r="A123" s="5">
        <v>120</v>
      </c>
      <c r="B123" t="s">
        <v>335</v>
      </c>
      <c r="C123" s="5" t="s">
        <v>259</v>
      </c>
      <c r="D123" t="s">
        <v>276</v>
      </c>
      <c r="E123" s="4">
        <v>1.9166666666666599E-2</v>
      </c>
    </row>
    <row r="124" spans="1:5" x14ac:dyDescent="0.25">
      <c r="A124" s="5">
        <v>121</v>
      </c>
      <c r="B124" t="s">
        <v>336</v>
      </c>
      <c r="C124" s="5" t="s">
        <v>259</v>
      </c>
      <c r="D124" t="s">
        <v>276</v>
      </c>
      <c r="E124" s="4">
        <v>1.9340277777777699E-2</v>
      </c>
    </row>
    <row r="125" spans="1:5" x14ac:dyDescent="0.25">
      <c r="A125" s="5">
        <v>122</v>
      </c>
      <c r="B125" t="s">
        <v>337</v>
      </c>
      <c r="C125" s="5" t="s">
        <v>197</v>
      </c>
      <c r="D125" t="s">
        <v>22</v>
      </c>
      <c r="E125" s="4">
        <v>1.9386574074074001E-2</v>
      </c>
    </row>
    <row r="126" spans="1:5" x14ac:dyDescent="0.25">
      <c r="A126" s="5">
        <v>123</v>
      </c>
      <c r="B126" t="s">
        <v>338</v>
      </c>
      <c r="C126" s="5" t="s">
        <v>231</v>
      </c>
      <c r="D126" t="s">
        <v>119</v>
      </c>
      <c r="E126" s="4">
        <v>1.9560185185185101E-2</v>
      </c>
    </row>
    <row r="127" spans="1:5" x14ac:dyDescent="0.25">
      <c r="A127" s="5">
        <v>124</v>
      </c>
      <c r="B127" t="s">
        <v>339</v>
      </c>
      <c r="C127" s="5" t="s">
        <v>199</v>
      </c>
      <c r="D127" t="s">
        <v>32</v>
      </c>
      <c r="E127" s="4">
        <v>1.96527777777777E-2</v>
      </c>
    </row>
    <row r="128" spans="1:5" x14ac:dyDescent="0.25">
      <c r="A128" s="5">
        <v>125</v>
      </c>
      <c r="B128" t="s">
        <v>340</v>
      </c>
      <c r="C128" s="5" t="s">
        <v>210</v>
      </c>
      <c r="D128" t="s">
        <v>11</v>
      </c>
      <c r="E128" s="4">
        <v>1.97222222222222E-2</v>
      </c>
    </row>
    <row r="129" spans="1:5" x14ac:dyDescent="0.25">
      <c r="A129" s="5">
        <v>126</v>
      </c>
      <c r="B129" t="s">
        <v>341</v>
      </c>
      <c r="C129" s="5" t="s">
        <v>197</v>
      </c>
      <c r="D129" t="s">
        <v>119</v>
      </c>
      <c r="E129" s="4">
        <v>1.9733796296296201E-2</v>
      </c>
    </row>
    <row r="130" spans="1:5" x14ac:dyDescent="0.25">
      <c r="A130" s="5">
        <v>127</v>
      </c>
      <c r="B130" t="s">
        <v>342</v>
      </c>
      <c r="C130" s="5" t="s">
        <v>235</v>
      </c>
      <c r="D130" t="s">
        <v>219</v>
      </c>
      <c r="E130" s="4">
        <v>1.9745370370370299E-2</v>
      </c>
    </row>
    <row r="131" spans="1:5" x14ac:dyDescent="0.25">
      <c r="A131" s="5">
        <v>128</v>
      </c>
      <c r="B131" t="s">
        <v>343</v>
      </c>
      <c r="C131" s="5" t="s">
        <v>235</v>
      </c>
      <c r="D131" t="s">
        <v>219</v>
      </c>
      <c r="E131" s="4">
        <v>1.97569444444444E-2</v>
      </c>
    </row>
    <row r="132" spans="1:5" x14ac:dyDescent="0.25">
      <c r="A132" s="5">
        <v>129</v>
      </c>
      <c r="B132" t="s">
        <v>344</v>
      </c>
      <c r="C132" s="5" t="s">
        <v>345</v>
      </c>
      <c r="D132" t="s">
        <v>19</v>
      </c>
      <c r="E132" s="4">
        <v>2.0462962962962902E-2</v>
      </c>
    </row>
    <row r="133" spans="1:5" x14ac:dyDescent="0.25">
      <c r="A133" s="5">
        <v>130</v>
      </c>
      <c r="B133" t="s">
        <v>346</v>
      </c>
      <c r="C133" s="5" t="s">
        <v>199</v>
      </c>
      <c r="D133" t="s">
        <v>62</v>
      </c>
      <c r="E133" s="4">
        <v>2.0625000000000001E-2</v>
      </c>
    </row>
    <row r="134" spans="1:5" x14ac:dyDescent="0.25">
      <c r="A134" s="5">
        <v>131</v>
      </c>
      <c r="B134" t="s">
        <v>347</v>
      </c>
      <c r="C134" s="5" t="s">
        <v>348</v>
      </c>
      <c r="D134" t="s">
        <v>276</v>
      </c>
      <c r="E134" s="4">
        <v>2.1516203703703701E-2</v>
      </c>
    </row>
    <row r="135" spans="1:5" x14ac:dyDescent="0.25">
      <c r="A135" s="5">
        <v>132</v>
      </c>
      <c r="B135" t="s">
        <v>349</v>
      </c>
      <c r="C135" s="5" t="s">
        <v>259</v>
      </c>
      <c r="D135" t="s">
        <v>35</v>
      </c>
      <c r="E135" s="4">
        <v>2.15509259259259E-2</v>
      </c>
    </row>
    <row r="136" spans="1:5" x14ac:dyDescent="0.25">
      <c r="A136" s="5">
        <v>133</v>
      </c>
      <c r="B136" t="s">
        <v>350</v>
      </c>
      <c r="C136" s="5" t="s">
        <v>199</v>
      </c>
      <c r="D136" t="s">
        <v>219</v>
      </c>
      <c r="E136" s="4">
        <v>2.1724537037037001E-2</v>
      </c>
    </row>
    <row r="137" spans="1:5" x14ac:dyDescent="0.25">
      <c r="A137" s="5">
        <v>134</v>
      </c>
      <c r="B137" t="s">
        <v>351</v>
      </c>
      <c r="C137" s="5" t="s">
        <v>231</v>
      </c>
      <c r="D137" t="s">
        <v>62</v>
      </c>
      <c r="E137" s="4">
        <v>2.1828703703703701E-2</v>
      </c>
    </row>
    <row r="138" spans="1:5" x14ac:dyDescent="0.25">
      <c r="A138" s="5">
        <v>135</v>
      </c>
      <c r="B138" t="s">
        <v>352</v>
      </c>
      <c r="C138" s="5" t="s">
        <v>199</v>
      </c>
      <c r="D138" t="s">
        <v>124</v>
      </c>
      <c r="E138" s="4">
        <v>2.3182870370370302E-2</v>
      </c>
    </row>
    <row r="139" spans="1:5" x14ac:dyDescent="0.25">
      <c r="A139" s="5">
        <v>136</v>
      </c>
      <c r="B139" t="s">
        <v>353</v>
      </c>
      <c r="C139" s="5" t="s">
        <v>197</v>
      </c>
      <c r="D139" t="s">
        <v>124</v>
      </c>
      <c r="E139" s="4">
        <v>2.3182870370370302E-2</v>
      </c>
    </row>
  </sheetData>
  <mergeCells count="1">
    <mergeCell ref="B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B420A-F7D1-4CB7-A695-1AC73C0D7078}">
  <dimension ref="A2:E77"/>
  <sheetViews>
    <sheetView workbookViewId="0">
      <selection activeCell="B3" sqref="B3"/>
    </sheetView>
  </sheetViews>
  <sheetFormatPr defaultRowHeight="13.2" x14ac:dyDescent="0.25"/>
  <cols>
    <col min="1" max="1" width="8.88671875" style="5"/>
    <col min="2" max="2" width="22" bestFit="1" customWidth="1"/>
    <col min="3" max="3" width="8.88671875" style="5"/>
    <col min="4" max="4" width="20.77734375" bestFit="1" customWidth="1"/>
    <col min="5" max="5" width="8.88671875" style="4"/>
  </cols>
  <sheetData>
    <row r="2" spans="1:5" x14ac:dyDescent="0.25">
      <c r="A2" s="6"/>
      <c r="B2" s="7" t="s">
        <v>563</v>
      </c>
      <c r="C2" s="6"/>
      <c r="D2" s="7"/>
      <c r="E2" s="8"/>
    </row>
    <row r="3" spans="1:5" x14ac:dyDescent="0.25">
      <c r="A3" s="6" t="s">
        <v>1</v>
      </c>
      <c r="B3" s="7" t="s">
        <v>2</v>
      </c>
      <c r="C3" s="6" t="s">
        <v>3</v>
      </c>
      <c r="D3" s="7" t="s">
        <v>0</v>
      </c>
      <c r="E3" s="8" t="s">
        <v>4</v>
      </c>
    </row>
    <row r="4" spans="1:5" x14ac:dyDescent="0.25">
      <c r="A4" s="5">
        <v>1</v>
      </c>
      <c r="B4" t="s">
        <v>354</v>
      </c>
      <c r="C4" s="5" t="s">
        <v>355</v>
      </c>
      <c r="D4" t="s">
        <v>135</v>
      </c>
      <c r="E4" s="4">
        <v>7.4999999999999997E-3</v>
      </c>
    </row>
    <row r="5" spans="1:5" x14ac:dyDescent="0.25">
      <c r="A5" s="5">
        <v>2</v>
      </c>
      <c r="B5" t="s">
        <v>356</v>
      </c>
      <c r="C5" s="5" t="s">
        <v>355</v>
      </c>
      <c r="D5" t="s">
        <v>22</v>
      </c>
      <c r="E5" s="4">
        <v>7.6851851851851803E-3</v>
      </c>
    </row>
    <row r="6" spans="1:5" x14ac:dyDescent="0.25">
      <c r="A6" s="5">
        <v>3</v>
      </c>
      <c r="B6" t="s">
        <v>357</v>
      </c>
      <c r="C6" s="5" t="s">
        <v>355</v>
      </c>
      <c r="D6" t="s">
        <v>358</v>
      </c>
      <c r="E6" s="4">
        <v>7.7083333333333301E-3</v>
      </c>
    </row>
    <row r="7" spans="1:5" x14ac:dyDescent="0.25">
      <c r="A7" s="5">
        <v>4</v>
      </c>
      <c r="B7" t="s">
        <v>359</v>
      </c>
      <c r="C7" s="5" t="s">
        <v>355</v>
      </c>
      <c r="D7" t="s">
        <v>26</v>
      </c>
      <c r="E7" s="4">
        <v>7.9050925925925903E-3</v>
      </c>
    </row>
    <row r="8" spans="1:5" x14ac:dyDescent="0.25">
      <c r="A8" s="5">
        <v>5</v>
      </c>
      <c r="B8" t="s">
        <v>360</v>
      </c>
      <c r="C8" s="5" t="s">
        <v>361</v>
      </c>
      <c r="D8" t="s">
        <v>135</v>
      </c>
      <c r="E8" s="4">
        <v>7.9398148148148093E-3</v>
      </c>
    </row>
    <row r="9" spans="1:5" x14ac:dyDescent="0.25">
      <c r="A9" s="5">
        <v>6</v>
      </c>
      <c r="B9" t="s">
        <v>362</v>
      </c>
      <c r="C9" s="5" t="s">
        <v>361</v>
      </c>
      <c r="D9" t="s">
        <v>363</v>
      </c>
      <c r="E9" s="4">
        <v>7.9976851851851806E-3</v>
      </c>
    </row>
    <row r="10" spans="1:5" x14ac:dyDescent="0.25">
      <c r="A10" s="5">
        <v>7</v>
      </c>
      <c r="B10" t="s">
        <v>364</v>
      </c>
      <c r="C10" s="5" t="s">
        <v>355</v>
      </c>
      <c r="D10" t="s">
        <v>135</v>
      </c>
      <c r="E10" s="4">
        <v>8.1018518518518497E-3</v>
      </c>
    </row>
    <row r="11" spans="1:5" x14ac:dyDescent="0.25">
      <c r="A11" s="5">
        <v>8</v>
      </c>
      <c r="B11" t="s">
        <v>365</v>
      </c>
      <c r="C11" s="5" t="s">
        <v>355</v>
      </c>
      <c r="D11" t="s">
        <v>135</v>
      </c>
      <c r="E11" s="4">
        <v>8.1134259259259198E-3</v>
      </c>
    </row>
    <row r="12" spans="1:5" x14ac:dyDescent="0.25">
      <c r="A12" s="5">
        <v>9</v>
      </c>
      <c r="B12" t="s">
        <v>366</v>
      </c>
      <c r="C12" s="5" t="s">
        <v>355</v>
      </c>
      <c r="D12" t="s">
        <v>135</v>
      </c>
      <c r="E12" s="4">
        <v>8.3912037037036993E-3</v>
      </c>
    </row>
    <row r="13" spans="1:5" x14ac:dyDescent="0.25">
      <c r="A13" s="5">
        <v>10</v>
      </c>
      <c r="B13" t="s">
        <v>367</v>
      </c>
      <c r="C13" s="5" t="s">
        <v>355</v>
      </c>
      <c r="D13" t="s">
        <v>11</v>
      </c>
      <c r="E13" s="4">
        <v>8.4143518518518499E-3</v>
      </c>
    </row>
    <row r="14" spans="1:5" x14ac:dyDescent="0.25">
      <c r="A14" s="5">
        <v>11</v>
      </c>
      <c r="B14" t="s">
        <v>368</v>
      </c>
      <c r="C14" s="5" t="s">
        <v>355</v>
      </c>
      <c r="D14" t="s">
        <v>26</v>
      </c>
      <c r="E14" s="4">
        <v>8.4143518518518499E-3</v>
      </c>
    </row>
    <row r="15" spans="1:5" x14ac:dyDescent="0.25">
      <c r="A15" s="5">
        <v>12</v>
      </c>
      <c r="B15" t="s">
        <v>369</v>
      </c>
      <c r="C15" s="5" t="s">
        <v>355</v>
      </c>
      <c r="D15" t="s">
        <v>83</v>
      </c>
      <c r="E15" s="4">
        <v>8.4375000000000006E-3</v>
      </c>
    </row>
    <row r="16" spans="1:5" x14ac:dyDescent="0.25">
      <c r="A16" s="5">
        <v>13</v>
      </c>
      <c r="B16" t="s">
        <v>370</v>
      </c>
      <c r="C16" s="5" t="s">
        <v>371</v>
      </c>
      <c r="D16" t="s">
        <v>83</v>
      </c>
      <c r="E16" s="4">
        <v>8.4375000000000006E-3</v>
      </c>
    </row>
    <row r="17" spans="1:5" x14ac:dyDescent="0.25">
      <c r="A17" s="5">
        <v>14</v>
      </c>
      <c r="B17" t="s">
        <v>372</v>
      </c>
      <c r="C17" s="5" t="s">
        <v>361</v>
      </c>
      <c r="D17" t="s">
        <v>135</v>
      </c>
      <c r="E17" s="4">
        <v>8.4837962962962896E-3</v>
      </c>
    </row>
    <row r="18" spans="1:5" x14ac:dyDescent="0.25">
      <c r="A18" s="5">
        <v>15</v>
      </c>
      <c r="B18" t="s">
        <v>373</v>
      </c>
      <c r="C18" s="5" t="s">
        <v>355</v>
      </c>
      <c r="D18" t="s">
        <v>83</v>
      </c>
      <c r="E18" s="4">
        <v>8.5069444444444402E-3</v>
      </c>
    </row>
    <row r="19" spans="1:5" x14ac:dyDescent="0.25">
      <c r="A19" s="5">
        <v>16</v>
      </c>
      <c r="B19" t="s">
        <v>374</v>
      </c>
      <c r="C19" s="5" t="s">
        <v>355</v>
      </c>
      <c r="D19" t="s">
        <v>132</v>
      </c>
      <c r="E19" s="4">
        <v>8.5069444444444402E-3</v>
      </c>
    </row>
    <row r="20" spans="1:5" x14ac:dyDescent="0.25">
      <c r="A20" s="5">
        <v>17</v>
      </c>
      <c r="B20" t="s">
        <v>375</v>
      </c>
      <c r="C20" s="5" t="s">
        <v>376</v>
      </c>
      <c r="D20" t="s">
        <v>83</v>
      </c>
      <c r="E20" s="4">
        <v>8.5300925925925909E-3</v>
      </c>
    </row>
    <row r="21" spans="1:5" x14ac:dyDescent="0.25">
      <c r="A21" s="5">
        <v>18</v>
      </c>
      <c r="B21" t="s">
        <v>377</v>
      </c>
      <c r="C21" s="5" t="s">
        <v>355</v>
      </c>
      <c r="D21" t="s">
        <v>22</v>
      </c>
      <c r="E21" s="4">
        <v>8.5416666666666592E-3</v>
      </c>
    </row>
    <row r="22" spans="1:5" x14ac:dyDescent="0.25">
      <c r="A22" s="5">
        <v>19</v>
      </c>
      <c r="B22" t="s">
        <v>378</v>
      </c>
      <c r="C22" s="5" t="s">
        <v>361</v>
      </c>
      <c r="D22" t="s">
        <v>363</v>
      </c>
      <c r="E22" s="4">
        <v>8.5648148148148098E-3</v>
      </c>
    </row>
    <row r="23" spans="1:5" x14ac:dyDescent="0.25">
      <c r="A23" s="5">
        <v>20</v>
      </c>
      <c r="B23" t="s">
        <v>379</v>
      </c>
      <c r="C23" s="5" t="s">
        <v>361</v>
      </c>
      <c r="D23" t="s">
        <v>135</v>
      </c>
      <c r="E23" s="4">
        <v>8.6226851851851794E-3</v>
      </c>
    </row>
    <row r="24" spans="1:5" x14ac:dyDescent="0.25">
      <c r="A24" s="5">
        <v>21</v>
      </c>
      <c r="B24" t="s">
        <v>380</v>
      </c>
      <c r="C24" s="5" t="s">
        <v>371</v>
      </c>
      <c r="D24" t="s">
        <v>381</v>
      </c>
      <c r="E24" s="4">
        <v>8.6342592592592599E-3</v>
      </c>
    </row>
    <row r="25" spans="1:5" x14ac:dyDescent="0.25">
      <c r="A25" s="5">
        <v>22</v>
      </c>
      <c r="B25" t="s">
        <v>382</v>
      </c>
      <c r="C25" s="5" t="s">
        <v>355</v>
      </c>
      <c r="D25" t="s">
        <v>11</v>
      </c>
      <c r="E25" s="4">
        <v>8.6805555555555507E-3</v>
      </c>
    </row>
    <row r="26" spans="1:5" x14ac:dyDescent="0.25">
      <c r="A26" s="5">
        <v>23</v>
      </c>
      <c r="B26" t="s">
        <v>383</v>
      </c>
      <c r="C26" s="5" t="s">
        <v>371</v>
      </c>
      <c r="D26" t="s">
        <v>83</v>
      </c>
      <c r="E26" s="4">
        <v>8.7152777777777697E-3</v>
      </c>
    </row>
    <row r="27" spans="1:5" x14ac:dyDescent="0.25">
      <c r="A27" s="5">
        <v>24</v>
      </c>
      <c r="B27" t="s">
        <v>384</v>
      </c>
      <c r="C27" s="5" t="s">
        <v>355</v>
      </c>
      <c r="D27" t="s">
        <v>132</v>
      </c>
      <c r="E27" s="4">
        <v>8.7268518518518502E-3</v>
      </c>
    </row>
    <row r="28" spans="1:5" x14ac:dyDescent="0.25">
      <c r="A28" s="5">
        <v>25</v>
      </c>
      <c r="B28" t="s">
        <v>385</v>
      </c>
      <c r="C28" s="5" t="s">
        <v>361</v>
      </c>
      <c r="D28" t="s">
        <v>135</v>
      </c>
      <c r="E28" s="4">
        <v>8.7500000000000008E-3</v>
      </c>
    </row>
    <row r="29" spans="1:5" x14ac:dyDescent="0.25">
      <c r="A29" s="5">
        <v>26</v>
      </c>
      <c r="B29" t="s">
        <v>386</v>
      </c>
      <c r="C29" s="5" t="s">
        <v>361</v>
      </c>
      <c r="D29" t="s">
        <v>83</v>
      </c>
      <c r="E29" s="4">
        <v>8.8425925925925894E-3</v>
      </c>
    </row>
    <row r="30" spans="1:5" x14ac:dyDescent="0.25">
      <c r="A30" s="5">
        <v>27</v>
      </c>
      <c r="B30" t="s">
        <v>387</v>
      </c>
      <c r="C30" s="5" t="s">
        <v>361</v>
      </c>
      <c r="D30" t="s">
        <v>22</v>
      </c>
      <c r="E30" s="4">
        <v>8.86574074074074E-3</v>
      </c>
    </row>
    <row r="31" spans="1:5" x14ac:dyDescent="0.25">
      <c r="A31" s="5">
        <v>28</v>
      </c>
      <c r="B31" t="s">
        <v>388</v>
      </c>
      <c r="C31" s="5" t="s">
        <v>361</v>
      </c>
      <c r="D31" t="s">
        <v>41</v>
      </c>
      <c r="E31" s="4">
        <v>8.86574074074074E-3</v>
      </c>
    </row>
    <row r="32" spans="1:5" x14ac:dyDescent="0.25">
      <c r="A32" s="5">
        <v>29</v>
      </c>
      <c r="B32" t="s">
        <v>389</v>
      </c>
      <c r="C32" s="5" t="s">
        <v>371</v>
      </c>
      <c r="D32" t="s">
        <v>390</v>
      </c>
      <c r="E32" s="4">
        <v>8.8773148148148101E-3</v>
      </c>
    </row>
    <row r="33" spans="1:5" x14ac:dyDescent="0.25">
      <c r="A33" s="5">
        <v>30</v>
      </c>
      <c r="B33" t="s">
        <v>391</v>
      </c>
      <c r="C33" s="5" t="s">
        <v>371</v>
      </c>
      <c r="D33" t="s">
        <v>392</v>
      </c>
      <c r="E33" s="4">
        <v>8.9004629629629607E-3</v>
      </c>
    </row>
    <row r="34" spans="1:5" x14ac:dyDescent="0.25">
      <c r="A34" s="5">
        <v>31</v>
      </c>
      <c r="B34" t="s">
        <v>393</v>
      </c>
      <c r="C34" s="5" t="s">
        <v>361</v>
      </c>
      <c r="D34" t="s">
        <v>381</v>
      </c>
      <c r="E34" s="4">
        <v>8.9120370370370308E-3</v>
      </c>
    </row>
    <row r="35" spans="1:5" x14ac:dyDescent="0.25">
      <c r="A35" s="5">
        <v>32</v>
      </c>
      <c r="B35" t="s">
        <v>394</v>
      </c>
      <c r="C35" s="5" t="s">
        <v>371</v>
      </c>
      <c r="D35" t="s">
        <v>35</v>
      </c>
      <c r="E35" s="4">
        <v>8.9351851851851797E-3</v>
      </c>
    </row>
    <row r="36" spans="1:5" x14ac:dyDescent="0.25">
      <c r="A36" s="5">
        <v>33</v>
      </c>
      <c r="B36" t="s">
        <v>395</v>
      </c>
      <c r="C36" s="5" t="s">
        <v>355</v>
      </c>
      <c r="D36" t="s">
        <v>135</v>
      </c>
      <c r="E36" s="4">
        <v>9.0046296296296298E-3</v>
      </c>
    </row>
    <row r="37" spans="1:5" x14ac:dyDescent="0.25">
      <c r="A37" s="5">
        <v>34</v>
      </c>
      <c r="B37" t="s">
        <v>396</v>
      </c>
      <c r="C37" s="5" t="s">
        <v>361</v>
      </c>
      <c r="D37" t="s">
        <v>135</v>
      </c>
      <c r="E37" s="4">
        <v>9.0624999999999994E-3</v>
      </c>
    </row>
    <row r="38" spans="1:5" x14ac:dyDescent="0.25">
      <c r="A38" s="5">
        <v>35</v>
      </c>
      <c r="B38" t="s">
        <v>397</v>
      </c>
      <c r="C38" s="5" t="s">
        <v>361</v>
      </c>
      <c r="D38" t="s">
        <v>83</v>
      </c>
      <c r="E38" s="4">
        <v>9.0740740740740695E-3</v>
      </c>
    </row>
    <row r="39" spans="1:5" x14ac:dyDescent="0.25">
      <c r="A39" s="5">
        <v>36</v>
      </c>
      <c r="B39" t="s">
        <v>398</v>
      </c>
      <c r="C39" s="5" t="s">
        <v>355</v>
      </c>
      <c r="D39" t="s">
        <v>83</v>
      </c>
      <c r="E39" s="4">
        <v>9.1203703703703707E-3</v>
      </c>
    </row>
    <row r="40" spans="1:5" x14ac:dyDescent="0.25">
      <c r="A40" s="5">
        <v>37</v>
      </c>
      <c r="B40" t="s">
        <v>399</v>
      </c>
      <c r="C40" s="5" t="s">
        <v>361</v>
      </c>
      <c r="D40" t="s">
        <v>135</v>
      </c>
      <c r="E40" s="4">
        <v>9.1666666666666598E-3</v>
      </c>
    </row>
    <row r="41" spans="1:5" x14ac:dyDescent="0.25">
      <c r="A41" s="5">
        <v>38</v>
      </c>
      <c r="B41" t="s">
        <v>400</v>
      </c>
      <c r="C41" s="5" t="s">
        <v>361</v>
      </c>
      <c r="D41" t="s">
        <v>135</v>
      </c>
      <c r="E41" s="4">
        <v>9.2129629629629593E-3</v>
      </c>
    </row>
    <row r="42" spans="1:5" x14ac:dyDescent="0.25">
      <c r="A42" s="5">
        <v>39</v>
      </c>
      <c r="B42" t="s">
        <v>401</v>
      </c>
      <c r="C42" s="5" t="s">
        <v>371</v>
      </c>
      <c r="D42" t="s">
        <v>363</v>
      </c>
      <c r="E42" s="4">
        <v>9.24768518518518E-3</v>
      </c>
    </row>
    <row r="43" spans="1:5" x14ac:dyDescent="0.25">
      <c r="A43" s="5">
        <v>40</v>
      </c>
      <c r="B43" t="s">
        <v>402</v>
      </c>
      <c r="C43" s="5" t="s">
        <v>355</v>
      </c>
      <c r="D43" t="s">
        <v>135</v>
      </c>
      <c r="E43" s="4">
        <v>9.2592592592592501E-3</v>
      </c>
    </row>
    <row r="44" spans="1:5" x14ac:dyDescent="0.25">
      <c r="A44" s="5">
        <v>41</v>
      </c>
      <c r="B44" t="s">
        <v>403</v>
      </c>
      <c r="C44" s="5" t="s">
        <v>371</v>
      </c>
      <c r="D44" t="s">
        <v>83</v>
      </c>
      <c r="E44" s="4">
        <v>9.4097222222222204E-3</v>
      </c>
    </row>
    <row r="45" spans="1:5" x14ac:dyDescent="0.25">
      <c r="A45" s="5">
        <v>42</v>
      </c>
      <c r="B45" t="s">
        <v>404</v>
      </c>
      <c r="C45" s="5" t="s">
        <v>361</v>
      </c>
      <c r="D45" t="s">
        <v>135</v>
      </c>
      <c r="E45" s="4">
        <v>9.5023148148148107E-3</v>
      </c>
    </row>
    <row r="46" spans="1:5" x14ac:dyDescent="0.25">
      <c r="A46" s="5">
        <v>43</v>
      </c>
      <c r="B46" t="s">
        <v>405</v>
      </c>
      <c r="C46" s="5" t="s">
        <v>361</v>
      </c>
      <c r="D46" t="s">
        <v>135</v>
      </c>
      <c r="E46" s="4">
        <v>9.5138888888888894E-3</v>
      </c>
    </row>
    <row r="47" spans="1:5" x14ac:dyDescent="0.25">
      <c r="A47" s="5">
        <v>44</v>
      </c>
      <c r="B47" t="s">
        <v>406</v>
      </c>
      <c r="C47" s="5" t="s">
        <v>361</v>
      </c>
      <c r="D47" t="s">
        <v>135</v>
      </c>
      <c r="E47" s="4">
        <v>9.5254629629629595E-3</v>
      </c>
    </row>
    <row r="48" spans="1:5" x14ac:dyDescent="0.25">
      <c r="A48" s="5">
        <v>45</v>
      </c>
      <c r="B48" t="s">
        <v>407</v>
      </c>
      <c r="C48" s="5" t="s">
        <v>361</v>
      </c>
      <c r="D48" t="s">
        <v>135</v>
      </c>
      <c r="E48" s="4">
        <v>9.5717592592592503E-3</v>
      </c>
    </row>
    <row r="49" spans="1:5" x14ac:dyDescent="0.25">
      <c r="A49" s="5">
        <v>46</v>
      </c>
      <c r="B49" t="s">
        <v>408</v>
      </c>
      <c r="C49" s="5" t="s">
        <v>376</v>
      </c>
      <c r="D49" t="s">
        <v>363</v>
      </c>
      <c r="E49" s="4">
        <v>9.5949074074073992E-3</v>
      </c>
    </row>
    <row r="50" spans="1:5" x14ac:dyDescent="0.25">
      <c r="A50" s="5">
        <v>47</v>
      </c>
      <c r="B50" t="s">
        <v>409</v>
      </c>
      <c r="C50" s="5" t="s">
        <v>376</v>
      </c>
      <c r="D50" t="s">
        <v>132</v>
      </c>
      <c r="E50" s="4">
        <v>9.6296296296296303E-3</v>
      </c>
    </row>
    <row r="51" spans="1:5" x14ac:dyDescent="0.25">
      <c r="A51" s="5">
        <v>48</v>
      </c>
      <c r="B51" t="s">
        <v>410</v>
      </c>
      <c r="C51" s="5" t="s">
        <v>361</v>
      </c>
      <c r="D51" t="s">
        <v>135</v>
      </c>
      <c r="E51" s="4">
        <v>9.8032407407407408E-3</v>
      </c>
    </row>
    <row r="52" spans="1:5" x14ac:dyDescent="0.25">
      <c r="A52" s="5">
        <v>49</v>
      </c>
      <c r="B52" t="s">
        <v>411</v>
      </c>
      <c r="C52" s="5" t="s">
        <v>361</v>
      </c>
      <c r="D52" t="s">
        <v>135</v>
      </c>
      <c r="E52" s="4">
        <v>9.8611111111111104E-3</v>
      </c>
    </row>
    <row r="53" spans="1:5" x14ac:dyDescent="0.25">
      <c r="A53" s="5">
        <v>50</v>
      </c>
      <c r="B53" t="s">
        <v>412</v>
      </c>
      <c r="C53" s="5" t="s">
        <v>361</v>
      </c>
      <c r="D53" t="s">
        <v>135</v>
      </c>
      <c r="E53" s="4">
        <v>9.9305555555555501E-3</v>
      </c>
    </row>
    <row r="54" spans="1:5" x14ac:dyDescent="0.25">
      <c r="A54" s="5">
        <v>51</v>
      </c>
      <c r="B54" t="s">
        <v>413</v>
      </c>
      <c r="C54" s="5" t="s">
        <v>361</v>
      </c>
      <c r="D54" t="s">
        <v>135</v>
      </c>
      <c r="E54" s="4">
        <v>9.9768518518518496E-3</v>
      </c>
    </row>
    <row r="55" spans="1:5" x14ac:dyDescent="0.25">
      <c r="A55" s="5">
        <v>52</v>
      </c>
      <c r="B55" t="s">
        <v>414</v>
      </c>
      <c r="C55" s="5" t="s">
        <v>376</v>
      </c>
      <c r="D55" t="s">
        <v>7</v>
      </c>
      <c r="E55" s="4">
        <v>9.9884259259259197E-3</v>
      </c>
    </row>
    <row r="56" spans="1:5" x14ac:dyDescent="0.25">
      <c r="A56" s="5">
        <v>53</v>
      </c>
      <c r="B56" t="s">
        <v>415</v>
      </c>
      <c r="C56" s="5" t="s">
        <v>376</v>
      </c>
      <c r="D56" t="s">
        <v>26</v>
      </c>
      <c r="E56" s="4">
        <v>1.00925925925925E-2</v>
      </c>
    </row>
    <row r="57" spans="1:5" x14ac:dyDescent="0.25">
      <c r="A57" s="5">
        <v>54</v>
      </c>
      <c r="B57" t="s">
        <v>416</v>
      </c>
      <c r="C57" s="5" t="s">
        <v>361</v>
      </c>
      <c r="D57" t="s">
        <v>135</v>
      </c>
      <c r="E57" s="4">
        <v>1.0162037037037001E-2</v>
      </c>
    </row>
    <row r="58" spans="1:5" x14ac:dyDescent="0.25">
      <c r="A58" s="5">
        <v>55</v>
      </c>
      <c r="B58" t="s">
        <v>417</v>
      </c>
      <c r="C58" s="5" t="s">
        <v>371</v>
      </c>
      <c r="D58" t="s">
        <v>83</v>
      </c>
      <c r="E58" s="4">
        <v>1.0185185185185099E-2</v>
      </c>
    </row>
    <row r="59" spans="1:5" x14ac:dyDescent="0.25">
      <c r="A59" s="5">
        <v>56</v>
      </c>
      <c r="B59" t="s">
        <v>418</v>
      </c>
      <c r="C59" s="5" t="s">
        <v>361</v>
      </c>
      <c r="D59" t="s">
        <v>135</v>
      </c>
      <c r="E59" s="4">
        <v>1.02314814814814E-2</v>
      </c>
    </row>
    <row r="60" spans="1:5" x14ac:dyDescent="0.25">
      <c r="A60" s="5">
        <v>57</v>
      </c>
      <c r="B60" t="s">
        <v>419</v>
      </c>
      <c r="C60" s="5" t="s">
        <v>371</v>
      </c>
      <c r="D60" t="s">
        <v>51</v>
      </c>
      <c r="E60" s="4">
        <v>1.02430555555555E-2</v>
      </c>
    </row>
    <row r="61" spans="1:5" x14ac:dyDescent="0.25">
      <c r="A61" s="5">
        <v>58</v>
      </c>
      <c r="B61" t="s">
        <v>420</v>
      </c>
      <c r="C61" s="5" t="s">
        <v>371</v>
      </c>
      <c r="D61" t="s">
        <v>35</v>
      </c>
      <c r="E61" s="4">
        <v>1.0405092592592501E-2</v>
      </c>
    </row>
    <row r="62" spans="1:5" x14ac:dyDescent="0.25">
      <c r="A62" s="5">
        <v>59</v>
      </c>
      <c r="B62" t="s">
        <v>421</v>
      </c>
      <c r="C62" s="5" t="s">
        <v>371</v>
      </c>
      <c r="D62" t="s">
        <v>51</v>
      </c>
      <c r="E62" s="4">
        <v>1.05671296296296E-2</v>
      </c>
    </row>
    <row r="63" spans="1:5" x14ac:dyDescent="0.25">
      <c r="A63" s="5">
        <v>60</v>
      </c>
      <c r="B63" t="s">
        <v>422</v>
      </c>
      <c r="C63" s="5" t="s">
        <v>376</v>
      </c>
      <c r="D63" t="s">
        <v>26</v>
      </c>
      <c r="E63" s="4">
        <v>1.06018518518518E-2</v>
      </c>
    </row>
    <row r="64" spans="1:5" x14ac:dyDescent="0.25">
      <c r="A64" s="5">
        <v>61</v>
      </c>
      <c r="B64" t="s">
        <v>423</v>
      </c>
      <c r="C64" s="5" t="s">
        <v>371</v>
      </c>
      <c r="D64" t="s">
        <v>41</v>
      </c>
      <c r="E64" s="4">
        <v>1.07638888888888E-2</v>
      </c>
    </row>
    <row r="65" spans="1:5" x14ac:dyDescent="0.25">
      <c r="A65" s="5">
        <v>62</v>
      </c>
      <c r="B65" t="s">
        <v>424</v>
      </c>
      <c r="C65" s="5" t="s">
        <v>371</v>
      </c>
      <c r="D65" t="s">
        <v>41</v>
      </c>
      <c r="E65" s="4">
        <v>1.0787037037037E-2</v>
      </c>
    </row>
    <row r="66" spans="1:5" x14ac:dyDescent="0.25">
      <c r="A66" s="5">
        <v>63</v>
      </c>
      <c r="B66" t="s">
        <v>425</v>
      </c>
      <c r="C66" s="5" t="s">
        <v>371</v>
      </c>
      <c r="D66" t="s">
        <v>41</v>
      </c>
      <c r="E66" s="4">
        <v>1.08101851851851E-2</v>
      </c>
    </row>
    <row r="67" spans="1:5" x14ac:dyDescent="0.25">
      <c r="A67" s="5">
        <v>64</v>
      </c>
      <c r="B67" t="s">
        <v>426</v>
      </c>
      <c r="C67" s="5" t="s">
        <v>361</v>
      </c>
      <c r="D67" t="s">
        <v>62</v>
      </c>
      <c r="E67" s="4">
        <v>1.10879629629629E-2</v>
      </c>
    </row>
    <row r="68" spans="1:5" x14ac:dyDescent="0.25">
      <c r="A68" s="5">
        <v>65</v>
      </c>
      <c r="B68" t="s">
        <v>427</v>
      </c>
      <c r="C68" s="5" t="s">
        <v>371</v>
      </c>
      <c r="D68" t="s">
        <v>26</v>
      </c>
      <c r="E68" s="4">
        <v>1.12268518518518E-2</v>
      </c>
    </row>
    <row r="69" spans="1:5" x14ac:dyDescent="0.25">
      <c r="A69" s="5">
        <v>66</v>
      </c>
      <c r="B69" t="s">
        <v>428</v>
      </c>
      <c r="C69" s="5" t="s">
        <v>376</v>
      </c>
      <c r="D69" t="s">
        <v>7</v>
      </c>
      <c r="E69" s="4">
        <v>1.12731481481481E-2</v>
      </c>
    </row>
    <row r="70" spans="1:5" x14ac:dyDescent="0.25">
      <c r="A70" s="5">
        <v>67</v>
      </c>
      <c r="B70" t="s">
        <v>429</v>
      </c>
      <c r="C70" s="5" t="s">
        <v>371</v>
      </c>
      <c r="D70" t="s">
        <v>22</v>
      </c>
      <c r="E70" s="4">
        <v>1.1678240740740699E-2</v>
      </c>
    </row>
    <row r="71" spans="1:5" x14ac:dyDescent="0.25">
      <c r="A71" s="5">
        <v>68</v>
      </c>
      <c r="B71" t="s">
        <v>430</v>
      </c>
      <c r="C71" s="5" t="s">
        <v>371</v>
      </c>
      <c r="D71" t="s">
        <v>83</v>
      </c>
      <c r="E71" s="4">
        <v>1.1701388888888799E-2</v>
      </c>
    </row>
    <row r="72" spans="1:5" x14ac:dyDescent="0.25">
      <c r="A72" s="5">
        <v>69</v>
      </c>
      <c r="B72" t="s">
        <v>431</v>
      </c>
      <c r="C72" s="5" t="s">
        <v>371</v>
      </c>
      <c r="D72" t="s">
        <v>22</v>
      </c>
      <c r="E72" s="4">
        <v>1.21527777777777E-2</v>
      </c>
    </row>
    <row r="73" spans="1:5" x14ac:dyDescent="0.25">
      <c r="A73" s="5">
        <v>70</v>
      </c>
      <c r="B73" t="s">
        <v>432</v>
      </c>
      <c r="C73" s="5" t="s">
        <v>371</v>
      </c>
      <c r="D73" t="s">
        <v>26</v>
      </c>
      <c r="E73" s="4">
        <v>1.23958333333333E-2</v>
      </c>
    </row>
    <row r="74" spans="1:5" x14ac:dyDescent="0.25">
      <c r="A74" s="5">
        <v>71</v>
      </c>
      <c r="B74" t="s">
        <v>433</v>
      </c>
      <c r="C74" s="5" t="s">
        <v>371</v>
      </c>
      <c r="D74" t="s">
        <v>22</v>
      </c>
      <c r="E74" s="4">
        <v>1.24074074074074E-2</v>
      </c>
    </row>
    <row r="75" spans="1:5" x14ac:dyDescent="0.25">
      <c r="A75" s="5">
        <v>72</v>
      </c>
      <c r="B75" t="s">
        <v>434</v>
      </c>
      <c r="C75" s="5" t="s">
        <v>371</v>
      </c>
      <c r="D75" t="s">
        <v>26</v>
      </c>
      <c r="E75" s="4">
        <v>1.2673611111111101E-2</v>
      </c>
    </row>
    <row r="76" spans="1:5" x14ac:dyDescent="0.25">
      <c r="A76" s="5">
        <v>73</v>
      </c>
      <c r="B76" t="s">
        <v>435</v>
      </c>
      <c r="C76" s="5" t="s">
        <v>371</v>
      </c>
      <c r="D76" t="s">
        <v>22</v>
      </c>
      <c r="E76" s="4">
        <v>1.2847222222222201E-2</v>
      </c>
    </row>
    <row r="77" spans="1:5" x14ac:dyDescent="0.25">
      <c r="A77" s="5">
        <v>74</v>
      </c>
      <c r="B77" t="s">
        <v>436</v>
      </c>
      <c r="C77" s="5" t="s">
        <v>361</v>
      </c>
      <c r="D77" t="s">
        <v>62</v>
      </c>
      <c r="E77" s="4">
        <v>1.41550925925925E-2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374B8-DE4A-4BE9-80F8-42C8FD764F93}">
  <dimension ref="A2:E124"/>
  <sheetViews>
    <sheetView tabSelected="1" workbookViewId="0">
      <selection activeCell="I22" sqref="I22"/>
    </sheetView>
  </sheetViews>
  <sheetFormatPr defaultRowHeight="13.2" x14ac:dyDescent="0.25"/>
  <cols>
    <col min="2" max="2" width="20" bestFit="1" customWidth="1"/>
    <col min="4" max="4" width="27" bestFit="1" customWidth="1"/>
    <col min="5" max="5" width="8.88671875" style="4"/>
  </cols>
  <sheetData>
    <row r="2" spans="1:5" x14ac:dyDescent="0.25">
      <c r="A2" s="7"/>
      <c r="B2" s="7" t="s">
        <v>562</v>
      </c>
      <c r="C2" s="7"/>
      <c r="D2" s="7"/>
      <c r="E2" s="8"/>
    </row>
    <row r="3" spans="1:5" x14ac:dyDescent="0.25">
      <c r="A3" s="7" t="s">
        <v>1</v>
      </c>
      <c r="B3" s="7" t="s">
        <v>2</v>
      </c>
      <c r="C3" s="7" t="s">
        <v>3</v>
      </c>
      <c r="D3" s="7" t="s">
        <v>0</v>
      </c>
      <c r="E3" s="8" t="s">
        <v>4</v>
      </c>
    </row>
    <row r="4" spans="1:5" x14ac:dyDescent="0.25">
      <c r="A4">
        <v>1</v>
      </c>
      <c r="B4" t="s">
        <v>437</v>
      </c>
      <c r="C4" t="s">
        <v>438</v>
      </c>
      <c r="D4" t="s">
        <v>13</v>
      </c>
      <c r="E4" s="4">
        <v>1.41319444444444E-2</v>
      </c>
    </row>
    <row r="5" spans="1:5" x14ac:dyDescent="0.25">
      <c r="A5">
        <v>2</v>
      </c>
      <c r="B5" t="s">
        <v>439</v>
      </c>
      <c r="C5" t="s">
        <v>438</v>
      </c>
      <c r="D5" t="s">
        <v>440</v>
      </c>
      <c r="E5" s="4">
        <v>1.41666666666666E-2</v>
      </c>
    </row>
    <row r="6" spans="1:5" x14ac:dyDescent="0.25">
      <c r="A6">
        <v>3</v>
      </c>
      <c r="B6" t="s">
        <v>441</v>
      </c>
      <c r="C6" t="s">
        <v>438</v>
      </c>
      <c r="D6" t="s">
        <v>442</v>
      </c>
      <c r="E6" s="4">
        <v>1.4467592592592501E-2</v>
      </c>
    </row>
    <row r="7" spans="1:5" x14ac:dyDescent="0.25">
      <c r="A7">
        <v>4</v>
      </c>
      <c r="B7" t="s">
        <v>443</v>
      </c>
      <c r="C7" t="s">
        <v>438</v>
      </c>
      <c r="D7" t="s">
        <v>13</v>
      </c>
      <c r="E7" s="4">
        <v>1.44907407407407E-2</v>
      </c>
    </row>
    <row r="8" spans="1:5" x14ac:dyDescent="0.25">
      <c r="A8">
        <v>5</v>
      </c>
      <c r="B8" t="s">
        <v>444</v>
      </c>
      <c r="C8" t="s">
        <v>438</v>
      </c>
      <c r="D8" t="s">
        <v>35</v>
      </c>
      <c r="E8" s="4">
        <v>1.4965277777777701E-2</v>
      </c>
    </row>
    <row r="9" spans="1:5" x14ac:dyDescent="0.25">
      <c r="A9">
        <v>6</v>
      </c>
      <c r="B9" t="s">
        <v>445</v>
      </c>
      <c r="C9" t="s">
        <v>438</v>
      </c>
      <c r="D9" t="s">
        <v>13</v>
      </c>
      <c r="E9" s="4">
        <v>1.50231481481481E-2</v>
      </c>
    </row>
    <row r="10" spans="1:5" x14ac:dyDescent="0.25">
      <c r="A10">
        <v>7</v>
      </c>
      <c r="B10" t="s">
        <v>446</v>
      </c>
      <c r="C10" t="s">
        <v>10</v>
      </c>
      <c r="D10" t="s">
        <v>35</v>
      </c>
      <c r="E10" s="4">
        <v>1.51273148148148E-2</v>
      </c>
    </row>
    <row r="11" spans="1:5" x14ac:dyDescent="0.25">
      <c r="A11">
        <v>8</v>
      </c>
      <c r="B11" t="s">
        <v>447</v>
      </c>
      <c r="C11" t="s">
        <v>438</v>
      </c>
      <c r="D11" t="s">
        <v>19</v>
      </c>
      <c r="E11" s="4">
        <v>1.5162037037037E-2</v>
      </c>
    </row>
    <row r="12" spans="1:5" x14ac:dyDescent="0.25">
      <c r="A12">
        <v>9</v>
      </c>
      <c r="B12" t="s">
        <v>448</v>
      </c>
      <c r="C12" t="s">
        <v>449</v>
      </c>
      <c r="D12" t="s">
        <v>35</v>
      </c>
      <c r="E12" s="4">
        <v>1.52662037037037E-2</v>
      </c>
    </row>
    <row r="13" spans="1:5" x14ac:dyDescent="0.25">
      <c r="A13">
        <v>10</v>
      </c>
      <c r="B13" t="s">
        <v>450</v>
      </c>
      <c r="C13" t="s">
        <v>438</v>
      </c>
      <c r="D13" t="s">
        <v>41</v>
      </c>
      <c r="E13" s="4">
        <v>1.5428240740740701E-2</v>
      </c>
    </row>
    <row r="14" spans="1:5" x14ac:dyDescent="0.25">
      <c r="A14">
        <v>11</v>
      </c>
      <c r="B14" t="s">
        <v>451</v>
      </c>
      <c r="C14" t="s">
        <v>6</v>
      </c>
      <c r="D14" t="s">
        <v>35</v>
      </c>
      <c r="E14" s="4">
        <v>1.55092592592592E-2</v>
      </c>
    </row>
    <row r="15" spans="1:5" x14ac:dyDescent="0.25">
      <c r="A15">
        <v>12</v>
      </c>
      <c r="B15" t="s">
        <v>452</v>
      </c>
      <c r="C15" t="s">
        <v>438</v>
      </c>
      <c r="D15" t="s">
        <v>13</v>
      </c>
      <c r="E15" s="4">
        <v>1.55439814814814E-2</v>
      </c>
    </row>
    <row r="16" spans="1:5" x14ac:dyDescent="0.25">
      <c r="A16">
        <v>13</v>
      </c>
      <c r="B16" t="s">
        <v>453</v>
      </c>
      <c r="C16" t="s">
        <v>438</v>
      </c>
      <c r="D16" t="s">
        <v>35</v>
      </c>
      <c r="E16" s="4">
        <v>1.5578703703703701E-2</v>
      </c>
    </row>
    <row r="17" spans="1:5" x14ac:dyDescent="0.25">
      <c r="A17">
        <v>14</v>
      </c>
      <c r="B17" t="s">
        <v>454</v>
      </c>
      <c r="C17" t="s">
        <v>449</v>
      </c>
      <c r="D17" t="s">
        <v>7</v>
      </c>
      <c r="E17" s="4">
        <v>1.5590277777777699E-2</v>
      </c>
    </row>
    <row r="18" spans="1:5" x14ac:dyDescent="0.25">
      <c r="A18">
        <v>15</v>
      </c>
      <c r="B18" t="s">
        <v>455</v>
      </c>
      <c r="C18" t="s">
        <v>449</v>
      </c>
      <c r="D18" t="s">
        <v>11</v>
      </c>
      <c r="E18" s="4">
        <v>1.56134259259259E-2</v>
      </c>
    </row>
    <row r="19" spans="1:5" x14ac:dyDescent="0.25">
      <c r="A19">
        <v>16</v>
      </c>
      <c r="B19" t="s">
        <v>456</v>
      </c>
      <c r="C19" t="s">
        <v>449</v>
      </c>
      <c r="D19" t="s">
        <v>135</v>
      </c>
      <c r="E19" s="4">
        <v>1.5740740740740701E-2</v>
      </c>
    </row>
    <row r="20" spans="1:5" x14ac:dyDescent="0.25">
      <c r="A20">
        <v>17</v>
      </c>
      <c r="B20" t="s">
        <v>457</v>
      </c>
      <c r="C20" t="s">
        <v>438</v>
      </c>
      <c r="D20" t="s">
        <v>35</v>
      </c>
      <c r="E20" s="4">
        <v>1.5775462962962901E-2</v>
      </c>
    </row>
    <row r="21" spans="1:5" x14ac:dyDescent="0.25">
      <c r="A21">
        <v>18</v>
      </c>
      <c r="B21" t="s">
        <v>458</v>
      </c>
      <c r="C21" t="s">
        <v>6</v>
      </c>
      <c r="D21" t="s">
        <v>41</v>
      </c>
      <c r="E21" s="4">
        <v>1.5844907407407401E-2</v>
      </c>
    </row>
    <row r="22" spans="1:5" x14ac:dyDescent="0.25">
      <c r="A22">
        <v>19</v>
      </c>
      <c r="B22" t="s">
        <v>459</v>
      </c>
      <c r="C22" t="s">
        <v>438</v>
      </c>
      <c r="D22" t="s">
        <v>13</v>
      </c>
      <c r="E22" s="4">
        <v>1.5925925925925899E-2</v>
      </c>
    </row>
    <row r="23" spans="1:5" x14ac:dyDescent="0.25">
      <c r="A23">
        <v>20</v>
      </c>
      <c r="B23" t="s">
        <v>460</v>
      </c>
      <c r="C23" t="s">
        <v>438</v>
      </c>
      <c r="D23" t="s">
        <v>16</v>
      </c>
      <c r="E23" s="4">
        <v>1.5949074074074001E-2</v>
      </c>
    </row>
    <row r="24" spans="1:5" x14ac:dyDescent="0.25">
      <c r="A24">
        <v>21</v>
      </c>
      <c r="B24" t="s">
        <v>461</v>
      </c>
      <c r="C24" t="s">
        <v>438</v>
      </c>
      <c r="D24" t="s">
        <v>41</v>
      </c>
      <c r="E24" s="4">
        <v>1.5960648148148099E-2</v>
      </c>
    </row>
    <row r="25" spans="1:5" x14ac:dyDescent="0.25">
      <c r="A25">
        <v>22</v>
      </c>
      <c r="B25" t="s">
        <v>462</v>
      </c>
      <c r="C25" t="s">
        <v>438</v>
      </c>
      <c r="D25" t="s">
        <v>41</v>
      </c>
      <c r="E25" s="4">
        <v>1.59722222222222E-2</v>
      </c>
    </row>
    <row r="26" spans="1:5" x14ac:dyDescent="0.25">
      <c r="A26">
        <v>23</v>
      </c>
      <c r="B26" t="s">
        <v>463</v>
      </c>
      <c r="C26" t="s">
        <v>438</v>
      </c>
      <c r="D26" t="s">
        <v>7</v>
      </c>
      <c r="E26" s="4">
        <v>1.6030092592592499E-2</v>
      </c>
    </row>
    <row r="27" spans="1:5" x14ac:dyDescent="0.25">
      <c r="A27">
        <v>24</v>
      </c>
      <c r="B27" t="s">
        <v>464</v>
      </c>
      <c r="C27" t="s">
        <v>10</v>
      </c>
      <c r="D27" t="s">
        <v>41</v>
      </c>
      <c r="E27" s="4">
        <v>1.60416666666666E-2</v>
      </c>
    </row>
    <row r="28" spans="1:5" x14ac:dyDescent="0.25">
      <c r="A28">
        <v>25</v>
      </c>
      <c r="B28" t="s">
        <v>9</v>
      </c>
      <c r="C28" t="s">
        <v>10</v>
      </c>
      <c r="D28" t="s">
        <v>11</v>
      </c>
      <c r="E28" s="4">
        <v>1.6192129629629601E-2</v>
      </c>
    </row>
    <row r="29" spans="1:5" x14ac:dyDescent="0.25">
      <c r="A29">
        <v>26</v>
      </c>
      <c r="B29" t="s">
        <v>465</v>
      </c>
      <c r="C29" t="s">
        <v>10</v>
      </c>
      <c r="D29" t="s">
        <v>13</v>
      </c>
      <c r="E29" s="4">
        <v>1.6273148148148099E-2</v>
      </c>
    </row>
    <row r="30" spans="1:5" x14ac:dyDescent="0.25">
      <c r="A30">
        <v>27</v>
      </c>
      <c r="B30" t="s">
        <v>466</v>
      </c>
      <c r="C30" t="s">
        <v>449</v>
      </c>
      <c r="D30" t="s">
        <v>219</v>
      </c>
      <c r="E30" s="4">
        <v>1.6458333333333301E-2</v>
      </c>
    </row>
    <row r="31" spans="1:5" x14ac:dyDescent="0.25">
      <c r="A31">
        <v>28</v>
      </c>
      <c r="B31" t="s">
        <v>467</v>
      </c>
      <c r="C31" t="s">
        <v>10</v>
      </c>
      <c r="D31" t="s">
        <v>11</v>
      </c>
      <c r="E31" s="4">
        <v>1.64930555555555E-2</v>
      </c>
    </row>
    <row r="32" spans="1:5" x14ac:dyDescent="0.25">
      <c r="A32">
        <v>29</v>
      </c>
      <c r="B32" t="s">
        <v>468</v>
      </c>
      <c r="C32" t="s">
        <v>438</v>
      </c>
      <c r="D32" t="s">
        <v>13</v>
      </c>
      <c r="E32" s="4">
        <v>1.6574074074074002E-2</v>
      </c>
    </row>
    <row r="33" spans="1:5" x14ac:dyDescent="0.25">
      <c r="A33">
        <v>30</v>
      </c>
      <c r="B33" t="s">
        <v>469</v>
      </c>
      <c r="C33" t="s">
        <v>10</v>
      </c>
      <c r="D33" t="s">
        <v>119</v>
      </c>
      <c r="E33" s="4">
        <v>1.6574074074074002E-2</v>
      </c>
    </row>
    <row r="34" spans="1:5" x14ac:dyDescent="0.25">
      <c r="A34">
        <v>31</v>
      </c>
      <c r="B34" t="s">
        <v>470</v>
      </c>
      <c r="C34" t="s">
        <v>438</v>
      </c>
      <c r="D34" t="s">
        <v>35</v>
      </c>
      <c r="E34" s="4">
        <v>1.6631944444444401E-2</v>
      </c>
    </row>
    <row r="35" spans="1:5" x14ac:dyDescent="0.25">
      <c r="A35">
        <v>32</v>
      </c>
      <c r="B35" t="s">
        <v>471</v>
      </c>
      <c r="C35" t="s">
        <v>438</v>
      </c>
      <c r="D35" t="s">
        <v>11</v>
      </c>
      <c r="E35" s="4">
        <v>1.6643518518518498E-2</v>
      </c>
    </row>
    <row r="36" spans="1:5" x14ac:dyDescent="0.25">
      <c r="A36">
        <v>33</v>
      </c>
      <c r="B36" t="s">
        <v>472</v>
      </c>
      <c r="C36" t="s">
        <v>438</v>
      </c>
      <c r="D36" t="s">
        <v>13</v>
      </c>
      <c r="E36" s="4">
        <v>1.6643518518518498E-2</v>
      </c>
    </row>
    <row r="37" spans="1:5" x14ac:dyDescent="0.25">
      <c r="A37">
        <v>34</v>
      </c>
      <c r="B37" t="s">
        <v>473</v>
      </c>
      <c r="C37" t="s">
        <v>438</v>
      </c>
      <c r="D37" t="s">
        <v>41</v>
      </c>
      <c r="E37" s="4">
        <v>1.66898148148148E-2</v>
      </c>
    </row>
    <row r="38" spans="1:5" x14ac:dyDescent="0.25">
      <c r="A38">
        <v>35</v>
      </c>
      <c r="B38" t="s">
        <v>474</v>
      </c>
      <c r="C38" t="s">
        <v>438</v>
      </c>
      <c r="D38" t="s">
        <v>13</v>
      </c>
      <c r="E38" s="4">
        <v>1.68287037037037E-2</v>
      </c>
    </row>
    <row r="39" spans="1:5" x14ac:dyDescent="0.25">
      <c r="A39">
        <v>36</v>
      </c>
      <c r="B39" t="s">
        <v>475</v>
      </c>
      <c r="C39" t="s">
        <v>438</v>
      </c>
      <c r="D39" t="s">
        <v>13</v>
      </c>
      <c r="E39" s="4">
        <v>1.6840277777777701E-2</v>
      </c>
    </row>
    <row r="40" spans="1:5" x14ac:dyDescent="0.25">
      <c r="A40">
        <v>37</v>
      </c>
      <c r="B40" t="s">
        <v>476</v>
      </c>
      <c r="C40" t="s">
        <v>449</v>
      </c>
      <c r="D40" t="s">
        <v>35</v>
      </c>
      <c r="E40" s="4">
        <v>1.6967592592592499E-2</v>
      </c>
    </row>
    <row r="41" spans="1:5" x14ac:dyDescent="0.25">
      <c r="A41">
        <v>38</v>
      </c>
      <c r="B41" t="s">
        <v>477</v>
      </c>
      <c r="C41" t="s">
        <v>6</v>
      </c>
      <c r="D41" t="s">
        <v>51</v>
      </c>
      <c r="E41" s="4">
        <v>1.7083333333333301E-2</v>
      </c>
    </row>
    <row r="42" spans="1:5" x14ac:dyDescent="0.25">
      <c r="A42">
        <v>39</v>
      </c>
      <c r="B42" t="s">
        <v>478</v>
      </c>
      <c r="C42" t="s">
        <v>21</v>
      </c>
      <c r="D42" t="s">
        <v>11</v>
      </c>
      <c r="E42" s="4">
        <v>1.71412037037037E-2</v>
      </c>
    </row>
    <row r="43" spans="1:5" x14ac:dyDescent="0.25">
      <c r="A43">
        <v>40</v>
      </c>
      <c r="B43" t="s">
        <v>479</v>
      </c>
      <c r="C43" t="s">
        <v>438</v>
      </c>
      <c r="D43" t="s">
        <v>13</v>
      </c>
      <c r="E43" s="4">
        <v>1.71412037037037E-2</v>
      </c>
    </row>
    <row r="44" spans="1:5" x14ac:dyDescent="0.25">
      <c r="A44">
        <v>41</v>
      </c>
      <c r="B44" t="s">
        <v>480</v>
      </c>
      <c r="C44" t="s">
        <v>10</v>
      </c>
      <c r="D44" t="s">
        <v>41</v>
      </c>
      <c r="E44" s="4">
        <v>1.71759259259259E-2</v>
      </c>
    </row>
    <row r="45" spans="1:5" x14ac:dyDescent="0.25">
      <c r="A45">
        <v>42</v>
      </c>
      <c r="B45" t="s">
        <v>481</v>
      </c>
      <c r="C45" t="s">
        <v>6</v>
      </c>
      <c r="D45" t="s">
        <v>41</v>
      </c>
      <c r="E45" s="4">
        <v>1.7233796296296199E-2</v>
      </c>
    </row>
    <row r="46" spans="1:5" x14ac:dyDescent="0.25">
      <c r="A46">
        <v>43</v>
      </c>
      <c r="B46" t="s">
        <v>482</v>
      </c>
      <c r="C46" t="s">
        <v>438</v>
      </c>
      <c r="D46" t="s">
        <v>219</v>
      </c>
      <c r="E46" s="4">
        <v>1.73148148148148E-2</v>
      </c>
    </row>
    <row r="47" spans="1:5" x14ac:dyDescent="0.25">
      <c r="A47">
        <v>44</v>
      </c>
      <c r="B47" t="s">
        <v>483</v>
      </c>
      <c r="C47" t="s">
        <v>449</v>
      </c>
      <c r="D47" t="s">
        <v>216</v>
      </c>
      <c r="E47" s="4">
        <v>1.7349537037037E-2</v>
      </c>
    </row>
    <row r="48" spans="1:5" x14ac:dyDescent="0.25">
      <c r="A48">
        <v>45</v>
      </c>
      <c r="B48" t="s">
        <v>484</v>
      </c>
      <c r="C48" t="s">
        <v>10</v>
      </c>
      <c r="D48" t="s">
        <v>219</v>
      </c>
      <c r="E48" s="4">
        <v>1.73842592592592E-2</v>
      </c>
    </row>
    <row r="49" spans="1:5" x14ac:dyDescent="0.25">
      <c r="A49">
        <v>46</v>
      </c>
      <c r="B49" t="s">
        <v>485</v>
      </c>
      <c r="C49" t="s">
        <v>6</v>
      </c>
      <c r="D49" t="s">
        <v>11</v>
      </c>
      <c r="E49" s="4">
        <v>1.73842592592592E-2</v>
      </c>
    </row>
    <row r="50" spans="1:5" x14ac:dyDescent="0.25">
      <c r="A50">
        <v>47</v>
      </c>
      <c r="B50" t="s">
        <v>486</v>
      </c>
      <c r="C50" t="s">
        <v>10</v>
      </c>
      <c r="D50" t="s">
        <v>487</v>
      </c>
      <c r="E50" s="4">
        <v>1.7395833333333301E-2</v>
      </c>
    </row>
    <row r="51" spans="1:5" x14ac:dyDescent="0.25">
      <c r="A51">
        <v>48</v>
      </c>
      <c r="B51" t="s">
        <v>488</v>
      </c>
      <c r="C51" t="s">
        <v>21</v>
      </c>
      <c r="D51" t="s">
        <v>41</v>
      </c>
      <c r="E51" s="4">
        <v>1.74189814814814E-2</v>
      </c>
    </row>
    <row r="52" spans="1:5" x14ac:dyDescent="0.25">
      <c r="A52">
        <v>49</v>
      </c>
      <c r="B52" t="s">
        <v>489</v>
      </c>
      <c r="C52" t="s">
        <v>10</v>
      </c>
      <c r="D52" t="s">
        <v>11</v>
      </c>
      <c r="E52" s="4">
        <v>1.7476851851851799E-2</v>
      </c>
    </row>
    <row r="53" spans="1:5" x14ac:dyDescent="0.25">
      <c r="A53">
        <v>50</v>
      </c>
      <c r="B53" t="s">
        <v>490</v>
      </c>
      <c r="C53" t="s">
        <v>21</v>
      </c>
      <c r="D53" t="s">
        <v>35</v>
      </c>
      <c r="E53" s="4">
        <v>1.7500000000000002E-2</v>
      </c>
    </row>
    <row r="54" spans="1:5" x14ac:dyDescent="0.25">
      <c r="A54">
        <v>51</v>
      </c>
      <c r="B54" t="s">
        <v>491</v>
      </c>
      <c r="C54" t="s">
        <v>10</v>
      </c>
      <c r="D54" t="s">
        <v>219</v>
      </c>
      <c r="E54" s="4">
        <v>1.77314814814814E-2</v>
      </c>
    </row>
    <row r="55" spans="1:5" x14ac:dyDescent="0.25">
      <c r="A55">
        <v>52</v>
      </c>
      <c r="B55" t="s">
        <v>492</v>
      </c>
      <c r="C55" t="s">
        <v>449</v>
      </c>
      <c r="D55" t="s">
        <v>135</v>
      </c>
      <c r="E55" s="4">
        <v>1.7847222222222198E-2</v>
      </c>
    </row>
    <row r="56" spans="1:5" x14ac:dyDescent="0.25">
      <c r="A56">
        <v>53</v>
      </c>
      <c r="B56" t="s">
        <v>493</v>
      </c>
      <c r="C56" t="s">
        <v>449</v>
      </c>
      <c r="D56" t="s">
        <v>35</v>
      </c>
      <c r="E56" s="4">
        <v>1.78935185185185E-2</v>
      </c>
    </row>
    <row r="57" spans="1:5" x14ac:dyDescent="0.25">
      <c r="A57">
        <v>54</v>
      </c>
      <c r="B57" t="s">
        <v>494</v>
      </c>
      <c r="C57" t="s">
        <v>6</v>
      </c>
      <c r="D57" t="s">
        <v>228</v>
      </c>
      <c r="E57" s="4">
        <v>1.7951388888888802E-2</v>
      </c>
    </row>
    <row r="58" spans="1:5" x14ac:dyDescent="0.25">
      <c r="A58">
        <v>55</v>
      </c>
      <c r="B58" t="s">
        <v>495</v>
      </c>
      <c r="C58" t="s">
        <v>438</v>
      </c>
      <c r="D58" t="s">
        <v>119</v>
      </c>
      <c r="E58" s="4">
        <v>1.7986111111111099E-2</v>
      </c>
    </row>
    <row r="59" spans="1:5" x14ac:dyDescent="0.25">
      <c r="A59">
        <v>56</v>
      </c>
      <c r="B59" t="s">
        <v>496</v>
      </c>
      <c r="C59" t="s">
        <v>15</v>
      </c>
      <c r="D59" t="s">
        <v>219</v>
      </c>
      <c r="E59" s="4">
        <v>1.8009259259259201E-2</v>
      </c>
    </row>
    <row r="60" spans="1:5" x14ac:dyDescent="0.25">
      <c r="A60">
        <v>57</v>
      </c>
      <c r="B60" t="s">
        <v>497</v>
      </c>
      <c r="C60" t="s">
        <v>6</v>
      </c>
      <c r="D60" t="s">
        <v>487</v>
      </c>
      <c r="E60" s="4">
        <v>1.8020833333333298E-2</v>
      </c>
    </row>
    <row r="61" spans="1:5" x14ac:dyDescent="0.25">
      <c r="A61">
        <v>58</v>
      </c>
      <c r="B61" t="s">
        <v>498</v>
      </c>
      <c r="C61" t="s">
        <v>438</v>
      </c>
      <c r="D61" t="s">
        <v>11</v>
      </c>
      <c r="E61" s="4">
        <v>1.80439814814814E-2</v>
      </c>
    </row>
    <row r="62" spans="1:5" x14ac:dyDescent="0.25">
      <c r="A62">
        <v>59</v>
      </c>
      <c r="B62" t="s">
        <v>499</v>
      </c>
      <c r="C62" t="s">
        <v>6</v>
      </c>
      <c r="D62" t="s">
        <v>41</v>
      </c>
      <c r="E62" s="4">
        <v>1.80671296296296E-2</v>
      </c>
    </row>
    <row r="63" spans="1:5" x14ac:dyDescent="0.25">
      <c r="A63">
        <v>60</v>
      </c>
      <c r="B63" t="s">
        <v>500</v>
      </c>
      <c r="C63" t="s">
        <v>449</v>
      </c>
      <c r="D63" t="s">
        <v>83</v>
      </c>
      <c r="E63" s="4">
        <v>1.8148148148148101E-2</v>
      </c>
    </row>
    <row r="64" spans="1:5" x14ac:dyDescent="0.25">
      <c r="A64">
        <v>61</v>
      </c>
      <c r="B64" t="s">
        <v>501</v>
      </c>
      <c r="C64" t="s">
        <v>438</v>
      </c>
      <c r="D64" t="s">
        <v>381</v>
      </c>
      <c r="E64" s="4">
        <v>1.8148148148148101E-2</v>
      </c>
    </row>
    <row r="65" spans="1:5" x14ac:dyDescent="0.25">
      <c r="A65">
        <v>62</v>
      </c>
      <c r="B65" t="s">
        <v>502</v>
      </c>
      <c r="C65" t="s">
        <v>21</v>
      </c>
      <c r="D65" t="s">
        <v>487</v>
      </c>
      <c r="E65" s="4">
        <v>1.8171296296296199E-2</v>
      </c>
    </row>
    <row r="66" spans="1:5" x14ac:dyDescent="0.25">
      <c r="A66">
        <v>63</v>
      </c>
      <c r="B66" t="s">
        <v>503</v>
      </c>
      <c r="C66" t="s">
        <v>438</v>
      </c>
      <c r="D66" t="s">
        <v>487</v>
      </c>
      <c r="E66" s="4">
        <v>1.8182870370370301E-2</v>
      </c>
    </row>
    <row r="67" spans="1:5" x14ac:dyDescent="0.25">
      <c r="A67">
        <v>64</v>
      </c>
      <c r="B67" t="s">
        <v>504</v>
      </c>
      <c r="C67" t="s">
        <v>21</v>
      </c>
      <c r="D67" t="s">
        <v>124</v>
      </c>
      <c r="E67" s="4">
        <v>1.8252314814814801E-2</v>
      </c>
    </row>
    <row r="68" spans="1:5" x14ac:dyDescent="0.25">
      <c r="A68">
        <v>65</v>
      </c>
      <c r="B68" t="s">
        <v>505</v>
      </c>
      <c r="C68" t="s">
        <v>438</v>
      </c>
      <c r="D68" t="s">
        <v>11</v>
      </c>
      <c r="E68" s="4">
        <v>1.8333333333333299E-2</v>
      </c>
    </row>
    <row r="69" spans="1:5" x14ac:dyDescent="0.25">
      <c r="A69">
        <v>66</v>
      </c>
      <c r="B69" t="s">
        <v>506</v>
      </c>
      <c r="C69" t="s">
        <v>15</v>
      </c>
      <c r="D69" t="s">
        <v>19</v>
      </c>
      <c r="E69" s="4">
        <v>1.8368055555555499E-2</v>
      </c>
    </row>
    <row r="70" spans="1:5" x14ac:dyDescent="0.25">
      <c r="A70">
        <v>67</v>
      </c>
      <c r="B70" t="s">
        <v>507</v>
      </c>
      <c r="C70" t="s">
        <v>21</v>
      </c>
      <c r="D70" t="s">
        <v>93</v>
      </c>
      <c r="E70" s="4">
        <v>1.85532407407407E-2</v>
      </c>
    </row>
    <row r="71" spans="1:5" x14ac:dyDescent="0.25">
      <c r="A71">
        <v>68</v>
      </c>
      <c r="B71" t="s">
        <v>508</v>
      </c>
      <c r="C71" t="s">
        <v>438</v>
      </c>
      <c r="D71" t="s">
        <v>119</v>
      </c>
      <c r="E71" s="4">
        <v>1.8738425925925901E-2</v>
      </c>
    </row>
    <row r="72" spans="1:5" x14ac:dyDescent="0.25">
      <c r="A72">
        <v>69</v>
      </c>
      <c r="B72" t="s">
        <v>509</v>
      </c>
      <c r="C72" t="s">
        <v>6</v>
      </c>
      <c r="D72" t="s">
        <v>219</v>
      </c>
      <c r="E72" s="4">
        <v>1.89004629629629E-2</v>
      </c>
    </row>
    <row r="73" spans="1:5" x14ac:dyDescent="0.25">
      <c r="A73">
        <v>70</v>
      </c>
      <c r="B73" t="s">
        <v>510</v>
      </c>
      <c r="C73" t="s">
        <v>438</v>
      </c>
      <c r="D73" t="s">
        <v>219</v>
      </c>
      <c r="E73" s="4">
        <v>1.90625E-2</v>
      </c>
    </row>
    <row r="74" spans="1:5" x14ac:dyDescent="0.25">
      <c r="A74">
        <v>71</v>
      </c>
      <c r="B74" t="s">
        <v>511</v>
      </c>
      <c r="C74" t="s">
        <v>6</v>
      </c>
      <c r="D74" t="s">
        <v>124</v>
      </c>
      <c r="E74" s="4">
        <v>1.9085648148148102E-2</v>
      </c>
    </row>
    <row r="75" spans="1:5" x14ac:dyDescent="0.25">
      <c r="A75">
        <v>72</v>
      </c>
      <c r="B75" t="s">
        <v>512</v>
      </c>
      <c r="C75" t="s">
        <v>6</v>
      </c>
      <c r="D75" t="s">
        <v>32</v>
      </c>
      <c r="E75" s="4">
        <v>1.91087962962962E-2</v>
      </c>
    </row>
    <row r="76" spans="1:5" x14ac:dyDescent="0.25">
      <c r="A76">
        <v>73</v>
      </c>
      <c r="B76" t="s">
        <v>513</v>
      </c>
      <c r="C76" t="s">
        <v>438</v>
      </c>
      <c r="D76" t="s">
        <v>216</v>
      </c>
      <c r="E76" s="4">
        <v>1.92129629629629E-2</v>
      </c>
    </row>
    <row r="77" spans="1:5" x14ac:dyDescent="0.25">
      <c r="A77">
        <v>74</v>
      </c>
      <c r="B77" t="s">
        <v>514</v>
      </c>
      <c r="C77" t="s">
        <v>10</v>
      </c>
      <c r="D77" t="s">
        <v>228</v>
      </c>
      <c r="E77" s="4">
        <v>1.92476851851851E-2</v>
      </c>
    </row>
    <row r="78" spans="1:5" x14ac:dyDescent="0.25">
      <c r="A78">
        <v>75</v>
      </c>
      <c r="B78" t="s">
        <v>515</v>
      </c>
      <c r="C78" t="s">
        <v>6</v>
      </c>
      <c r="D78" t="s">
        <v>487</v>
      </c>
      <c r="E78" s="4">
        <v>1.9259259259259202E-2</v>
      </c>
    </row>
    <row r="79" spans="1:5" x14ac:dyDescent="0.25">
      <c r="A79">
        <v>76</v>
      </c>
      <c r="B79" t="s">
        <v>516</v>
      </c>
      <c r="C79" t="s">
        <v>10</v>
      </c>
      <c r="D79" t="s">
        <v>32</v>
      </c>
      <c r="E79" s="4">
        <v>1.9282407407407401E-2</v>
      </c>
    </row>
    <row r="80" spans="1:5" x14ac:dyDescent="0.25">
      <c r="A80">
        <v>77</v>
      </c>
      <c r="B80" t="s">
        <v>517</v>
      </c>
      <c r="C80" t="s">
        <v>6</v>
      </c>
      <c r="D80" t="s">
        <v>219</v>
      </c>
      <c r="E80" s="4">
        <v>1.9351851851851801E-2</v>
      </c>
    </row>
    <row r="81" spans="1:5" x14ac:dyDescent="0.25">
      <c r="A81">
        <v>78</v>
      </c>
      <c r="B81" t="s">
        <v>518</v>
      </c>
      <c r="C81" t="s">
        <v>438</v>
      </c>
      <c r="D81" t="s">
        <v>11</v>
      </c>
      <c r="E81" s="4">
        <v>1.94212962962962E-2</v>
      </c>
    </row>
    <row r="82" spans="1:5" x14ac:dyDescent="0.25">
      <c r="A82">
        <v>79</v>
      </c>
      <c r="B82" t="s">
        <v>519</v>
      </c>
      <c r="C82" t="s">
        <v>10</v>
      </c>
      <c r="D82" t="s">
        <v>35</v>
      </c>
      <c r="E82" s="4">
        <v>1.9467592592592502E-2</v>
      </c>
    </row>
    <row r="83" spans="1:5" x14ac:dyDescent="0.25">
      <c r="A83">
        <v>80</v>
      </c>
      <c r="B83" t="s">
        <v>520</v>
      </c>
      <c r="C83" t="s">
        <v>10</v>
      </c>
      <c r="D83" t="s">
        <v>62</v>
      </c>
      <c r="E83" s="4">
        <v>1.9513888888888799E-2</v>
      </c>
    </row>
    <row r="84" spans="1:5" x14ac:dyDescent="0.25">
      <c r="A84">
        <v>81</v>
      </c>
      <c r="B84" t="s">
        <v>490</v>
      </c>
      <c r="C84" t="s">
        <v>438</v>
      </c>
      <c r="D84" t="s">
        <v>11</v>
      </c>
      <c r="E84" s="4">
        <v>1.9525462962962901E-2</v>
      </c>
    </row>
    <row r="85" spans="1:5" x14ac:dyDescent="0.25">
      <c r="A85">
        <v>82</v>
      </c>
      <c r="B85" t="s">
        <v>521</v>
      </c>
      <c r="C85" t="s">
        <v>449</v>
      </c>
      <c r="D85" t="s">
        <v>219</v>
      </c>
      <c r="E85" s="4">
        <v>1.9525462962962901E-2</v>
      </c>
    </row>
    <row r="86" spans="1:5" x14ac:dyDescent="0.25">
      <c r="A86">
        <v>83</v>
      </c>
      <c r="B86" t="s">
        <v>522</v>
      </c>
      <c r="C86" t="s">
        <v>15</v>
      </c>
      <c r="D86" t="s">
        <v>219</v>
      </c>
      <c r="E86" s="4">
        <v>1.95833333333333E-2</v>
      </c>
    </row>
    <row r="87" spans="1:5" x14ac:dyDescent="0.25">
      <c r="A87">
        <v>84</v>
      </c>
      <c r="B87" t="s">
        <v>523</v>
      </c>
      <c r="C87" t="s">
        <v>34</v>
      </c>
      <c r="D87" t="s">
        <v>219</v>
      </c>
      <c r="E87" s="4">
        <v>1.9675925925925899E-2</v>
      </c>
    </row>
    <row r="88" spans="1:5" x14ac:dyDescent="0.25">
      <c r="A88">
        <v>85</v>
      </c>
      <c r="B88" t="s">
        <v>524</v>
      </c>
      <c r="C88" t="s">
        <v>438</v>
      </c>
      <c r="D88" t="s">
        <v>216</v>
      </c>
      <c r="E88" s="4">
        <v>1.9733796296296201E-2</v>
      </c>
    </row>
    <row r="89" spans="1:5" x14ac:dyDescent="0.25">
      <c r="A89">
        <v>86</v>
      </c>
      <c r="B89" t="s">
        <v>525</v>
      </c>
      <c r="C89" t="s">
        <v>449</v>
      </c>
      <c r="D89" t="s">
        <v>135</v>
      </c>
      <c r="E89" s="4">
        <v>1.9780092592592498E-2</v>
      </c>
    </row>
    <row r="90" spans="1:5" x14ac:dyDescent="0.25">
      <c r="A90">
        <v>87</v>
      </c>
      <c r="B90" t="s">
        <v>526</v>
      </c>
      <c r="C90" t="s">
        <v>21</v>
      </c>
      <c r="D90" t="s">
        <v>241</v>
      </c>
      <c r="E90" s="4">
        <v>1.98958333333333E-2</v>
      </c>
    </row>
    <row r="91" spans="1:5" x14ac:dyDescent="0.25">
      <c r="A91">
        <v>88</v>
      </c>
      <c r="B91" t="s">
        <v>527</v>
      </c>
      <c r="C91" t="s">
        <v>438</v>
      </c>
      <c r="D91" t="s">
        <v>113</v>
      </c>
      <c r="E91" s="4">
        <v>1.9953703703703699E-2</v>
      </c>
    </row>
    <row r="92" spans="1:5" x14ac:dyDescent="0.25">
      <c r="A92">
        <v>89</v>
      </c>
      <c r="B92" t="s">
        <v>528</v>
      </c>
      <c r="C92" t="s">
        <v>10</v>
      </c>
      <c r="D92" t="s">
        <v>124</v>
      </c>
      <c r="E92" s="4">
        <v>2.00347222222222E-2</v>
      </c>
    </row>
    <row r="93" spans="1:5" x14ac:dyDescent="0.25">
      <c r="A93">
        <v>90</v>
      </c>
      <c r="B93" t="s">
        <v>529</v>
      </c>
      <c r="C93" t="s">
        <v>10</v>
      </c>
      <c r="D93" t="s">
        <v>487</v>
      </c>
      <c r="E93" s="4">
        <v>2.00694444444444E-2</v>
      </c>
    </row>
    <row r="94" spans="1:5" x14ac:dyDescent="0.25">
      <c r="A94">
        <v>91</v>
      </c>
      <c r="B94" t="s">
        <v>530</v>
      </c>
      <c r="C94" t="s">
        <v>21</v>
      </c>
      <c r="D94" t="s">
        <v>124</v>
      </c>
      <c r="E94" s="4">
        <v>2.01041666666666E-2</v>
      </c>
    </row>
    <row r="95" spans="1:5" x14ac:dyDescent="0.25">
      <c r="A95">
        <v>92</v>
      </c>
      <c r="B95" t="s">
        <v>531</v>
      </c>
      <c r="C95" t="s">
        <v>15</v>
      </c>
      <c r="D95" t="s">
        <v>119</v>
      </c>
      <c r="E95" s="4">
        <v>2.0115740740740701E-2</v>
      </c>
    </row>
    <row r="96" spans="1:5" x14ac:dyDescent="0.25">
      <c r="A96">
        <v>93</v>
      </c>
      <c r="B96" t="s">
        <v>532</v>
      </c>
      <c r="C96" t="s">
        <v>34</v>
      </c>
      <c r="D96" t="s">
        <v>487</v>
      </c>
      <c r="E96" s="4">
        <v>2.02083333333333E-2</v>
      </c>
    </row>
    <row r="97" spans="1:5" x14ac:dyDescent="0.25">
      <c r="A97">
        <v>94</v>
      </c>
      <c r="B97" t="s">
        <v>533</v>
      </c>
      <c r="C97" t="s">
        <v>438</v>
      </c>
      <c r="D97" t="s">
        <v>119</v>
      </c>
      <c r="E97" s="4">
        <v>2.04398148148148E-2</v>
      </c>
    </row>
    <row r="98" spans="1:5" x14ac:dyDescent="0.25">
      <c r="A98">
        <v>95</v>
      </c>
      <c r="B98" t="s">
        <v>534</v>
      </c>
      <c r="C98" t="s">
        <v>21</v>
      </c>
      <c r="D98" t="s">
        <v>119</v>
      </c>
      <c r="E98" s="4">
        <v>2.0474537037036999E-2</v>
      </c>
    </row>
    <row r="99" spans="1:5" x14ac:dyDescent="0.25">
      <c r="A99">
        <v>96</v>
      </c>
      <c r="B99" t="s">
        <v>535</v>
      </c>
      <c r="C99" t="s">
        <v>21</v>
      </c>
      <c r="D99" t="s">
        <v>11</v>
      </c>
      <c r="E99" s="4">
        <v>2.0532407407407399E-2</v>
      </c>
    </row>
    <row r="100" spans="1:5" x14ac:dyDescent="0.25">
      <c r="A100">
        <v>97</v>
      </c>
      <c r="B100" t="s">
        <v>536</v>
      </c>
      <c r="C100" t="s">
        <v>15</v>
      </c>
      <c r="D100" t="s">
        <v>219</v>
      </c>
      <c r="E100" s="4">
        <v>2.05902777777777E-2</v>
      </c>
    </row>
    <row r="101" spans="1:5" x14ac:dyDescent="0.25">
      <c r="A101">
        <v>98</v>
      </c>
      <c r="B101" t="s">
        <v>537</v>
      </c>
      <c r="C101" t="s">
        <v>15</v>
      </c>
      <c r="D101" t="s">
        <v>62</v>
      </c>
      <c r="E101" s="4">
        <v>2.0763888888888801E-2</v>
      </c>
    </row>
    <row r="102" spans="1:5" x14ac:dyDescent="0.25">
      <c r="A102">
        <v>99</v>
      </c>
      <c r="B102" t="s">
        <v>538</v>
      </c>
      <c r="C102" t="s">
        <v>15</v>
      </c>
      <c r="D102" t="s">
        <v>11</v>
      </c>
      <c r="E102" s="4">
        <v>2.0914351851851799E-2</v>
      </c>
    </row>
    <row r="103" spans="1:5" x14ac:dyDescent="0.25">
      <c r="A103">
        <v>100</v>
      </c>
      <c r="B103" t="s">
        <v>539</v>
      </c>
      <c r="C103" t="s">
        <v>10</v>
      </c>
      <c r="D103" t="s">
        <v>540</v>
      </c>
      <c r="E103" s="4">
        <v>2.10300925925925E-2</v>
      </c>
    </row>
    <row r="104" spans="1:5" x14ac:dyDescent="0.25">
      <c r="A104">
        <v>101</v>
      </c>
      <c r="B104" t="s">
        <v>541</v>
      </c>
      <c r="C104" t="s">
        <v>34</v>
      </c>
      <c r="D104" t="s">
        <v>119</v>
      </c>
      <c r="E104" s="4">
        <v>2.1053240740740699E-2</v>
      </c>
    </row>
    <row r="105" spans="1:5" x14ac:dyDescent="0.25">
      <c r="A105">
        <v>102</v>
      </c>
      <c r="B105" t="s">
        <v>542</v>
      </c>
      <c r="C105" t="s">
        <v>34</v>
      </c>
      <c r="D105" t="s">
        <v>487</v>
      </c>
      <c r="E105" s="4">
        <v>2.1122685185185099E-2</v>
      </c>
    </row>
    <row r="106" spans="1:5" x14ac:dyDescent="0.25">
      <c r="A106">
        <v>103</v>
      </c>
      <c r="B106" t="s">
        <v>543</v>
      </c>
      <c r="C106" t="s">
        <v>34</v>
      </c>
      <c r="D106" t="s">
        <v>241</v>
      </c>
      <c r="E106" s="4">
        <v>2.1157407407407399E-2</v>
      </c>
    </row>
    <row r="107" spans="1:5" x14ac:dyDescent="0.25">
      <c r="A107">
        <v>104</v>
      </c>
      <c r="B107" t="s">
        <v>544</v>
      </c>
      <c r="C107" t="s">
        <v>15</v>
      </c>
      <c r="D107" t="s">
        <v>228</v>
      </c>
      <c r="E107" s="4">
        <v>2.1192129629629599E-2</v>
      </c>
    </row>
    <row r="108" spans="1:5" x14ac:dyDescent="0.25">
      <c r="A108">
        <v>105</v>
      </c>
      <c r="B108" t="s">
        <v>545</v>
      </c>
      <c r="C108" t="s">
        <v>438</v>
      </c>
      <c r="D108" t="s">
        <v>22</v>
      </c>
      <c r="E108" s="4">
        <v>2.1226851851851799E-2</v>
      </c>
    </row>
    <row r="109" spans="1:5" x14ac:dyDescent="0.25">
      <c r="A109">
        <v>106</v>
      </c>
      <c r="B109" t="s">
        <v>546</v>
      </c>
      <c r="C109" t="s">
        <v>15</v>
      </c>
      <c r="D109" t="s">
        <v>41</v>
      </c>
      <c r="E109" s="4">
        <v>2.1388888888888801E-2</v>
      </c>
    </row>
    <row r="110" spans="1:5" x14ac:dyDescent="0.25">
      <c r="A110">
        <v>107</v>
      </c>
      <c r="B110" t="s">
        <v>547</v>
      </c>
      <c r="C110" t="s">
        <v>34</v>
      </c>
      <c r="D110" t="s">
        <v>32</v>
      </c>
      <c r="E110" s="4">
        <v>2.1469907407407399E-2</v>
      </c>
    </row>
    <row r="111" spans="1:5" x14ac:dyDescent="0.25">
      <c r="A111">
        <v>108</v>
      </c>
      <c r="B111" t="s">
        <v>548</v>
      </c>
      <c r="C111" t="s">
        <v>15</v>
      </c>
      <c r="D111" t="s">
        <v>19</v>
      </c>
      <c r="E111" s="4">
        <v>2.1539351851851799E-2</v>
      </c>
    </row>
    <row r="112" spans="1:5" x14ac:dyDescent="0.25">
      <c r="A112">
        <v>109</v>
      </c>
      <c r="B112" t="s">
        <v>549</v>
      </c>
      <c r="C112" t="s">
        <v>438</v>
      </c>
      <c r="D112" t="s">
        <v>35</v>
      </c>
      <c r="E112" s="4">
        <v>2.16203703703703E-2</v>
      </c>
    </row>
    <row r="113" spans="1:5" x14ac:dyDescent="0.25">
      <c r="A113">
        <v>110</v>
      </c>
      <c r="B113" t="s">
        <v>550</v>
      </c>
      <c r="C113" t="s">
        <v>15</v>
      </c>
      <c r="D113" t="s">
        <v>35</v>
      </c>
      <c r="E113" s="4">
        <v>2.2013888888888802E-2</v>
      </c>
    </row>
    <row r="114" spans="1:5" x14ac:dyDescent="0.25">
      <c r="A114">
        <v>111</v>
      </c>
      <c r="B114" t="s">
        <v>551</v>
      </c>
      <c r="C114" t="s">
        <v>10</v>
      </c>
      <c r="D114" t="s">
        <v>35</v>
      </c>
      <c r="E114" s="4">
        <v>2.2395833333333299E-2</v>
      </c>
    </row>
    <row r="115" spans="1:5" x14ac:dyDescent="0.25">
      <c r="A115">
        <v>112</v>
      </c>
      <c r="B115" t="s">
        <v>552</v>
      </c>
      <c r="C115" t="s">
        <v>15</v>
      </c>
      <c r="D115" t="s">
        <v>487</v>
      </c>
      <c r="E115" s="4">
        <v>2.24768518518518E-2</v>
      </c>
    </row>
    <row r="116" spans="1:5" x14ac:dyDescent="0.25">
      <c r="A116">
        <v>113</v>
      </c>
      <c r="B116" t="s">
        <v>553</v>
      </c>
      <c r="C116" t="s">
        <v>69</v>
      </c>
      <c r="D116" t="s">
        <v>241</v>
      </c>
      <c r="E116" s="4">
        <v>2.2870370370370301E-2</v>
      </c>
    </row>
    <row r="117" spans="1:5" x14ac:dyDescent="0.25">
      <c r="A117">
        <v>114</v>
      </c>
      <c r="B117" t="s">
        <v>554</v>
      </c>
      <c r="C117" t="s">
        <v>15</v>
      </c>
      <c r="D117" t="s">
        <v>219</v>
      </c>
      <c r="E117" s="4">
        <v>2.29629629629629E-2</v>
      </c>
    </row>
    <row r="118" spans="1:5" x14ac:dyDescent="0.25">
      <c r="A118">
        <v>115</v>
      </c>
      <c r="B118" t="s">
        <v>555</v>
      </c>
      <c r="C118" t="s">
        <v>6</v>
      </c>
      <c r="D118" t="s">
        <v>62</v>
      </c>
      <c r="E118" s="4">
        <v>2.3009259259259202E-2</v>
      </c>
    </row>
    <row r="119" spans="1:5" x14ac:dyDescent="0.25">
      <c r="A119">
        <v>116</v>
      </c>
      <c r="B119" t="s">
        <v>556</v>
      </c>
      <c r="C119" t="s">
        <v>21</v>
      </c>
      <c r="D119" t="s">
        <v>219</v>
      </c>
      <c r="E119" s="4">
        <v>2.3032407407407401E-2</v>
      </c>
    </row>
    <row r="120" spans="1:5" x14ac:dyDescent="0.25">
      <c r="A120">
        <v>117</v>
      </c>
      <c r="B120" t="s">
        <v>557</v>
      </c>
      <c r="C120" t="s">
        <v>34</v>
      </c>
      <c r="D120" t="s">
        <v>35</v>
      </c>
      <c r="E120" s="4">
        <v>2.3310185185185101E-2</v>
      </c>
    </row>
    <row r="121" spans="1:5" x14ac:dyDescent="0.25">
      <c r="A121">
        <v>118</v>
      </c>
      <c r="B121" t="s">
        <v>558</v>
      </c>
      <c r="C121" t="s">
        <v>438</v>
      </c>
      <c r="D121" t="s">
        <v>216</v>
      </c>
      <c r="E121" s="4">
        <v>2.3414351851851801E-2</v>
      </c>
    </row>
    <row r="122" spans="1:5" x14ac:dyDescent="0.25">
      <c r="A122">
        <v>119</v>
      </c>
      <c r="B122" t="s">
        <v>559</v>
      </c>
      <c r="C122" t="s">
        <v>6</v>
      </c>
      <c r="D122" t="s">
        <v>41</v>
      </c>
      <c r="E122" s="4">
        <v>2.3981481481481399E-2</v>
      </c>
    </row>
    <row r="123" spans="1:5" x14ac:dyDescent="0.25">
      <c r="A123">
        <v>120</v>
      </c>
      <c r="B123" t="s">
        <v>560</v>
      </c>
      <c r="C123" t="s">
        <v>15</v>
      </c>
      <c r="D123" t="s">
        <v>219</v>
      </c>
      <c r="E123" s="4">
        <v>2.9062500000000002E-2</v>
      </c>
    </row>
    <row r="124" spans="1:5" x14ac:dyDescent="0.25">
      <c r="A124">
        <v>121</v>
      </c>
      <c r="B124" t="s">
        <v>561</v>
      </c>
      <c r="C124" t="s">
        <v>438</v>
      </c>
      <c r="D124" t="s">
        <v>35</v>
      </c>
      <c r="E124" s="4">
        <v>2.9328703703703701E-2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BJ1000"/>
  <sheetViews>
    <sheetView workbookViewId="0"/>
  </sheetViews>
  <sheetFormatPr defaultColWidth="14.44140625" defaultRowHeight="15.75" customHeight="1" x14ac:dyDescent="0.25"/>
  <sheetData>
    <row r="1" spans="1:62" x14ac:dyDescent="0.25">
      <c r="A1" s="1" t="str">
        <f ca="1">IFERROR(__xludf.DUMMYFUNCTION("IMPORTRANGE(""https://docs.google.com/spreadsheets/d/10WsDRWyrzh7iHG6eur_TXO5xvq6U4cpUjIz0VrHU_mA/edit#gid=904909141"",""'Results Lists'!a1:zz3000"")"),"")</f>
        <v/>
      </c>
      <c r="B1" s="1" t="str">
        <f ca="1">IFERROR(__xludf.DUMMYFUNCTION("""COMPUTED_VALUE"""),"Masters Men")</f>
        <v>Masters Men</v>
      </c>
      <c r="C1" s="1"/>
      <c r="D1" s="1" t="str">
        <f ca="1">IFERROR(__xludf.DUMMYFUNCTION("""COMPUTED_VALUE"""),"3 miles")</f>
        <v>3 miles</v>
      </c>
      <c r="E1" s="2">
        <f ca="1">IFERROR(__xludf.DUMMYFUNCTION("""COMPUTED_VALUE"""),0.53125)</f>
        <v>0.53125</v>
      </c>
      <c r="F1" s="1"/>
      <c r="G1" s="1" t="str">
        <f ca="1">IFERROR(__xludf.DUMMYFUNCTION("""COMPUTED_VALUE"""),"Under 13 Girls &amp; Boys")</f>
        <v>Under 13 Girls &amp; Boys</v>
      </c>
      <c r="H1" s="1"/>
      <c r="I1" s="1" t="str">
        <f ca="1">IFERROR(__xludf.DUMMYFUNCTION("""COMPUTED_VALUE"""),"1 mile")</f>
        <v>1 mile</v>
      </c>
      <c r="J1" s="2">
        <f ca="1">IFERROR(__xludf.DUMMYFUNCTION("""COMPUTED_VALUE"""),0.5625)</f>
        <v>0.5625</v>
      </c>
      <c r="K1" s="1"/>
      <c r="L1" s="1" t="str">
        <f ca="1">IFERROR(__xludf.DUMMYFUNCTION("""COMPUTED_VALUE"""),"Women (including Veteran Women)")</f>
        <v>Women (including Veteran Women)</v>
      </c>
      <c r="M1" s="1"/>
      <c r="N1" s="1" t="str">
        <f ca="1">IFERROR(__xludf.DUMMYFUNCTION("""COMPUTED_VALUE"""),"3 miles")</f>
        <v>3 miles</v>
      </c>
      <c r="O1" s="2">
        <f ca="1">IFERROR(__xludf.DUMMYFUNCTION("""COMPUTED_VALUE"""),0.579861111111111)</f>
        <v>0.57986111111111105</v>
      </c>
      <c r="P1" s="1"/>
      <c r="Q1" s="1" t="str">
        <f ca="1">IFERROR(__xludf.DUMMYFUNCTION("""COMPUTED_VALUE"""),"Under 15/17 Girls &amp; Boys")</f>
        <v>Under 15/17 Girls &amp; Boys</v>
      </c>
      <c r="R1" s="1"/>
      <c r="S1" s="1" t="str">
        <f ca="1">IFERROR(__xludf.DUMMYFUNCTION("""COMPUTED_VALUE"""),"2 miles")</f>
        <v>2 miles</v>
      </c>
      <c r="T1" s="2">
        <f ca="1">IFERROR(__xludf.DUMMYFUNCTION("""COMPUTED_VALUE"""),0.611111111111111)</f>
        <v>0.61111111111111105</v>
      </c>
      <c r="U1" s="1"/>
      <c r="V1" s="1" t="str">
        <f ca="1">IFERROR(__xludf.DUMMYFUNCTION("""COMPUTED_VALUE"""),"Malcolm Cup")</f>
        <v>Malcolm Cup</v>
      </c>
      <c r="W1" s="1"/>
      <c r="X1" s="1" t="str">
        <f ca="1">IFERROR(__xludf.DUMMYFUNCTION("""COMPUTED_VALUE"""),"4 miles")</f>
        <v>4 miles</v>
      </c>
      <c r="Y1" s="2">
        <f ca="1">IFERROR(__xludf.DUMMYFUNCTION("""COMPUTED_VALUE"""),0.625)</f>
        <v>0.625</v>
      </c>
      <c r="Z1" s="1" t="str">
        <f ca="1">IFERROR(__xludf.DUMMYFUNCTION("""COMPUTED_VALUE"""),"U13G ")</f>
        <v xml:space="preserve">U13G </v>
      </c>
      <c r="AA1" s="1"/>
      <c r="AB1" s="1"/>
      <c r="AC1" s="1"/>
      <c r="AD1" s="1" t="str">
        <f ca="1">IFERROR(__xludf.DUMMYFUNCTION("""COMPUTED_VALUE"""),"U13B")</f>
        <v>U13B</v>
      </c>
      <c r="AE1" s="1"/>
      <c r="AF1" s="1"/>
      <c r="AG1" s="1"/>
      <c r="AH1" s="1" t="str">
        <f ca="1">IFERROR(__xludf.DUMMYFUNCTION("""COMPUTED_VALUE"""),"Andrew Campbell Trophy")</f>
        <v>Andrew Campbell Trophy</v>
      </c>
      <c r="AI1" s="1"/>
      <c r="AJ1" s="1"/>
      <c r="AK1" s="1"/>
      <c r="AL1" s="1" t="str">
        <f ca="1">IFERROR(__xludf.DUMMYFUNCTION("""COMPUTED_VALUE"""),"Malcolm Club Teams")</f>
        <v>Malcolm Club Teams</v>
      </c>
      <c r="AM1" s="1"/>
      <c r="AN1" s="1"/>
      <c r="AO1" s="1" t="str">
        <f ca="1">IFERROR(__xludf.DUMMYFUNCTION("""COMPUTED_VALUE"""),"U15G")</f>
        <v>U15G</v>
      </c>
      <c r="AP1" s="1"/>
      <c r="AQ1" s="1"/>
      <c r="AR1" s="1"/>
      <c r="AS1" s="1" t="str">
        <f ca="1">IFERROR(__xludf.DUMMYFUNCTION("""COMPUTED_VALUE"""),"U15B")</f>
        <v>U15B</v>
      </c>
      <c r="AT1" s="1"/>
      <c r="AU1" s="1"/>
      <c r="AV1" s="1"/>
      <c r="AW1" s="1" t="str">
        <f ca="1">IFERROR(__xludf.DUMMYFUNCTION("""COMPUTED_VALUE"""),"U17G")</f>
        <v>U17G</v>
      </c>
      <c r="AX1" s="1"/>
      <c r="AY1" s="1"/>
      <c r="AZ1" s="1"/>
      <c r="BA1" s="1" t="str">
        <f ca="1">IFERROR(__xludf.DUMMYFUNCTION("""COMPUTED_VALUE"""),"U17B")</f>
        <v>U17B</v>
      </c>
      <c r="BB1" s="1"/>
      <c r="BC1" s="1"/>
      <c r="BD1" s="1"/>
      <c r="BE1" s="1" t="str">
        <f ca="1">IFERROR(__xludf.DUMMYFUNCTION("""COMPUTED_VALUE"""),"Age Group Prize Winners")</f>
        <v>Age Group Prize Winners</v>
      </c>
      <c r="BF1" s="1"/>
      <c r="BG1" s="1"/>
      <c r="BH1" s="1" t="str">
        <f ca="1">IFERROR(__xludf.DUMMYFUNCTION("""COMPUTED_VALUE"""),"Age Group Prize Winners")</f>
        <v>Age Group Prize Winners</v>
      </c>
      <c r="BI1" s="1"/>
      <c r="BJ1" s="1"/>
    </row>
    <row r="2" spans="1:62" x14ac:dyDescent="0.25">
      <c r="A2" s="1" t="str">
        <f ca="1">IFERROR(__xludf.DUMMYFUNCTION("""COMPUTED_VALUE"""),"Position")</f>
        <v>Position</v>
      </c>
      <c r="B2" s="1" t="str">
        <f ca="1">IFERROR(__xludf.DUMMYFUNCTION("""COMPUTED_VALUE"""),"Name")</f>
        <v>Name</v>
      </c>
      <c r="C2" s="1" t="str">
        <f ca="1">IFERROR(__xludf.DUMMYFUNCTION("""COMPUTED_VALUE"""),"Category")</f>
        <v>Category</v>
      </c>
      <c r="D2" s="1" t="str">
        <f ca="1">IFERROR(__xludf.DUMMYFUNCTION("""COMPUTED_VALUE"""),"Club")</f>
        <v>Club</v>
      </c>
      <c r="E2" s="1" t="str">
        <f ca="1">IFERROR(__xludf.DUMMYFUNCTION("""COMPUTED_VALUE"""),"Time")</f>
        <v>Time</v>
      </c>
      <c r="F2" s="1" t="str">
        <f ca="1">IFERROR(__xludf.DUMMYFUNCTION("""COMPUTED_VALUE"""),"Position")</f>
        <v>Position</v>
      </c>
      <c r="G2" s="1" t="str">
        <f ca="1">IFERROR(__xludf.DUMMYFUNCTION("""COMPUTED_VALUE"""),"Name")</f>
        <v>Name</v>
      </c>
      <c r="H2" s="1" t="str">
        <f ca="1">IFERROR(__xludf.DUMMYFUNCTION("""COMPUTED_VALUE"""),"Category")</f>
        <v>Category</v>
      </c>
      <c r="I2" s="1" t="str">
        <f ca="1">IFERROR(__xludf.DUMMYFUNCTION("""COMPUTED_VALUE"""),"Club")</f>
        <v>Club</v>
      </c>
      <c r="J2" s="1" t="str">
        <f ca="1">IFERROR(__xludf.DUMMYFUNCTION("""COMPUTED_VALUE"""),"Time")</f>
        <v>Time</v>
      </c>
      <c r="K2" s="1" t="str">
        <f ca="1">IFERROR(__xludf.DUMMYFUNCTION("""COMPUTED_VALUE"""),"Position")</f>
        <v>Position</v>
      </c>
      <c r="L2" s="1" t="str">
        <f ca="1">IFERROR(__xludf.DUMMYFUNCTION("""COMPUTED_VALUE"""),"Name")</f>
        <v>Name</v>
      </c>
      <c r="M2" s="1" t="str">
        <f ca="1">IFERROR(__xludf.DUMMYFUNCTION("""COMPUTED_VALUE"""),"Category")</f>
        <v>Category</v>
      </c>
      <c r="N2" s="1" t="str">
        <f ca="1">IFERROR(__xludf.DUMMYFUNCTION("""COMPUTED_VALUE"""),"Club")</f>
        <v>Club</v>
      </c>
      <c r="O2" s="1" t="str">
        <f ca="1">IFERROR(__xludf.DUMMYFUNCTION("""COMPUTED_VALUE"""),"Time")</f>
        <v>Time</v>
      </c>
      <c r="P2" s="1" t="str">
        <f ca="1">IFERROR(__xludf.DUMMYFUNCTION("""COMPUTED_VALUE"""),"Position")</f>
        <v>Position</v>
      </c>
      <c r="Q2" s="1" t="str">
        <f ca="1">IFERROR(__xludf.DUMMYFUNCTION("""COMPUTED_VALUE"""),"Name")</f>
        <v>Name</v>
      </c>
      <c r="R2" s="1" t="str">
        <f ca="1">IFERROR(__xludf.DUMMYFUNCTION("""COMPUTED_VALUE"""),"Category")</f>
        <v>Category</v>
      </c>
      <c r="S2" s="1" t="str">
        <f ca="1">IFERROR(__xludf.DUMMYFUNCTION("""COMPUTED_VALUE"""),"Club")</f>
        <v>Club</v>
      </c>
      <c r="T2" s="1" t="str">
        <f ca="1">IFERROR(__xludf.DUMMYFUNCTION("""COMPUTED_VALUE"""),"Time")</f>
        <v>Time</v>
      </c>
      <c r="U2" s="1" t="str">
        <f ca="1">IFERROR(__xludf.DUMMYFUNCTION("""COMPUTED_VALUE"""),"Position")</f>
        <v>Position</v>
      </c>
      <c r="V2" s="1" t="str">
        <f ca="1">IFERROR(__xludf.DUMMYFUNCTION("""COMPUTED_VALUE"""),"Name")</f>
        <v>Name</v>
      </c>
      <c r="W2" s="1" t="str">
        <f ca="1">IFERROR(__xludf.DUMMYFUNCTION("""COMPUTED_VALUE"""),"Category")</f>
        <v>Category</v>
      </c>
      <c r="X2" s="1" t="str">
        <f ca="1">IFERROR(__xludf.DUMMYFUNCTION("""COMPUTED_VALUE"""),"Club")</f>
        <v>Club</v>
      </c>
      <c r="Y2" s="1" t="str">
        <f ca="1">IFERROR(__xludf.DUMMYFUNCTION("""COMPUTED_VALUE"""),"Time")</f>
        <v>Time</v>
      </c>
      <c r="Z2" s="1" t="str">
        <f ca="1">IFERROR(__xludf.DUMMYFUNCTION("""COMPUTED_VALUE"""),"Position")</f>
        <v>Position</v>
      </c>
      <c r="AA2" s="1" t="str">
        <f ca="1">IFERROR(__xludf.DUMMYFUNCTION("""COMPUTED_VALUE"""),"Name")</f>
        <v>Name</v>
      </c>
      <c r="AB2" s="1" t="str">
        <f ca="1">IFERROR(__xludf.DUMMYFUNCTION("""COMPUTED_VALUE"""),"Club")</f>
        <v>Club</v>
      </c>
      <c r="AC2" s="1" t="str">
        <f ca="1">IFERROR(__xludf.DUMMYFUNCTION("""COMPUTED_VALUE"""),"Time")</f>
        <v>Time</v>
      </c>
      <c r="AD2" s="1" t="str">
        <f ca="1">IFERROR(__xludf.DUMMYFUNCTION("""COMPUTED_VALUE"""),"Position")</f>
        <v>Position</v>
      </c>
      <c r="AE2" s="1" t="str">
        <f ca="1">IFERROR(__xludf.DUMMYFUNCTION("""COMPUTED_VALUE"""),"Name")</f>
        <v>Name</v>
      </c>
      <c r="AF2" s="1" t="str">
        <f ca="1">IFERROR(__xludf.DUMMYFUNCTION("""COMPUTED_VALUE"""),"Club")</f>
        <v>Club</v>
      </c>
      <c r="AG2" s="1" t="str">
        <f ca="1">IFERROR(__xludf.DUMMYFUNCTION("""COMPUTED_VALUE"""),"Time")</f>
        <v>Time</v>
      </c>
      <c r="AH2" s="1" t="str">
        <f ca="1">IFERROR(__xludf.DUMMYFUNCTION("""COMPUTED_VALUE"""),"Position")</f>
        <v>Position</v>
      </c>
      <c r="AI2" s="1" t="str">
        <f ca="1">IFERROR(__xludf.DUMMYFUNCTION("""COMPUTED_VALUE"""),"Name")</f>
        <v>Name</v>
      </c>
      <c r="AJ2" s="1" t="str">
        <f ca="1">IFERROR(__xludf.DUMMYFUNCTION("""COMPUTED_VALUE"""),"Club")</f>
        <v>Club</v>
      </c>
      <c r="AK2" s="1" t="str">
        <f ca="1">IFERROR(__xludf.DUMMYFUNCTION("""COMPUTED_VALUE"""),"Time")</f>
        <v>Time</v>
      </c>
      <c r="AL2" s="1" t="str">
        <f ca="1">IFERROR(__xludf.DUMMYFUNCTION("""COMPUTED_VALUE"""),"Position")</f>
        <v>Position</v>
      </c>
      <c r="AM2" s="1" t="str">
        <f ca="1">IFERROR(__xludf.DUMMYFUNCTION("""COMPUTED_VALUE"""),"Club")</f>
        <v>Club</v>
      </c>
      <c r="AN2" s="1" t="str">
        <f ca="1">IFERROR(__xludf.DUMMYFUNCTION("""COMPUTED_VALUE"""),"Points")</f>
        <v>Points</v>
      </c>
      <c r="AO2" s="1" t="str">
        <f ca="1">IFERROR(__xludf.DUMMYFUNCTION("""COMPUTED_VALUE"""),"Position")</f>
        <v>Position</v>
      </c>
      <c r="AP2" s="1" t="str">
        <f ca="1">IFERROR(__xludf.DUMMYFUNCTION("""COMPUTED_VALUE"""),"Name")</f>
        <v>Name</v>
      </c>
      <c r="AQ2" s="1" t="str">
        <f ca="1">IFERROR(__xludf.DUMMYFUNCTION("""COMPUTED_VALUE"""),"Club")</f>
        <v>Club</v>
      </c>
      <c r="AR2" s="1" t="str">
        <f ca="1">IFERROR(__xludf.DUMMYFUNCTION("""COMPUTED_VALUE"""),"Time")</f>
        <v>Time</v>
      </c>
      <c r="AS2" s="1" t="str">
        <f ca="1">IFERROR(__xludf.DUMMYFUNCTION("""COMPUTED_VALUE"""),"Position")</f>
        <v>Position</v>
      </c>
      <c r="AT2" s="1" t="str">
        <f ca="1">IFERROR(__xludf.DUMMYFUNCTION("""COMPUTED_VALUE"""),"Name")</f>
        <v>Name</v>
      </c>
      <c r="AU2" s="1" t="str">
        <f ca="1">IFERROR(__xludf.DUMMYFUNCTION("""COMPUTED_VALUE"""),"Club")</f>
        <v>Club</v>
      </c>
      <c r="AV2" s="1" t="str">
        <f ca="1">IFERROR(__xludf.DUMMYFUNCTION("""COMPUTED_VALUE"""),"Time")</f>
        <v>Time</v>
      </c>
      <c r="AW2" s="1" t="str">
        <f ca="1">IFERROR(__xludf.DUMMYFUNCTION("""COMPUTED_VALUE"""),"Position")</f>
        <v>Position</v>
      </c>
      <c r="AX2" s="1" t="str">
        <f ca="1">IFERROR(__xludf.DUMMYFUNCTION("""COMPUTED_VALUE"""),"Name")</f>
        <v>Name</v>
      </c>
      <c r="AY2" s="1" t="str">
        <f ca="1">IFERROR(__xludf.DUMMYFUNCTION("""COMPUTED_VALUE"""),"Club")</f>
        <v>Club</v>
      </c>
      <c r="AZ2" s="1" t="str">
        <f ca="1">IFERROR(__xludf.DUMMYFUNCTION("""COMPUTED_VALUE"""),"Time")</f>
        <v>Time</v>
      </c>
      <c r="BA2" s="1" t="str">
        <f ca="1">IFERROR(__xludf.DUMMYFUNCTION("""COMPUTED_VALUE"""),"Position")</f>
        <v>Position</v>
      </c>
      <c r="BB2" s="1" t="str">
        <f ca="1">IFERROR(__xludf.DUMMYFUNCTION("""COMPUTED_VALUE"""),"Name")</f>
        <v>Name</v>
      </c>
      <c r="BC2" s="1" t="str">
        <f ca="1">IFERROR(__xludf.DUMMYFUNCTION("""COMPUTED_VALUE"""),"Club")</f>
        <v>Club</v>
      </c>
      <c r="BD2" s="1" t="str">
        <f ca="1">IFERROR(__xludf.DUMMYFUNCTION("""COMPUTED_VALUE"""),"Time")</f>
        <v>Time</v>
      </c>
      <c r="BE2" s="1" t="str">
        <f ca="1">IFERROR(__xludf.DUMMYFUNCTION("""COMPUTED_VALUE"""),"M35")</f>
        <v>M35</v>
      </c>
      <c r="BF2" s="1"/>
      <c r="BG2" s="1"/>
      <c r="BH2" s="1" t="str">
        <f ca="1">IFERROR(__xludf.DUMMYFUNCTION("""COMPUTED_VALUE"""),"FO")</f>
        <v>FO</v>
      </c>
      <c r="BI2" s="1"/>
      <c r="BJ2" s="1"/>
    </row>
    <row r="3" spans="1:62" x14ac:dyDescent="0.25">
      <c r="A3" s="1">
        <f ca="1">IFERROR(__xludf.DUMMYFUNCTION("""COMPUTED_VALUE"""),1)</f>
        <v>1</v>
      </c>
      <c r="B3" s="1" t="str">
        <f ca="1">IFERROR(__xludf.DUMMYFUNCTION("""COMPUTED_VALUE"""),"Aidan Brown")</f>
        <v>Aidan Brown</v>
      </c>
      <c r="C3" s="1" t="str">
        <f ca="1">IFERROR(__xludf.DUMMYFUNCTION("""COMPUTED_VALUE"""),"M40")</f>
        <v>M40</v>
      </c>
      <c r="D3" s="1" t="str">
        <f ca="1">IFERROR(__xludf.DUMMYFUNCTION("""COMPUTED_VALUE"""),"Newcastle &amp; District AC")</f>
        <v>Newcastle &amp; District AC</v>
      </c>
      <c r="E3" s="3">
        <f ca="1">IFERROR(__xludf.DUMMYFUNCTION("""COMPUTED_VALUE"""),0.0116319444444444)</f>
        <v>1.16319444444444E-2</v>
      </c>
      <c r="F3" s="1">
        <f ca="1">IFERROR(__xludf.DUMMYFUNCTION("""COMPUTED_VALUE"""),1)</f>
        <v>1</v>
      </c>
      <c r="G3" s="1" t="str">
        <f ca="1">IFERROR(__xludf.DUMMYFUNCTION("""COMPUTED_VALUE"""),"Noah Watt")</f>
        <v>Noah Watt</v>
      </c>
      <c r="H3" s="1" t="str">
        <f ca="1">IFERROR(__xludf.DUMMYFUNCTION("""COMPUTED_VALUE"""),"U13B")</f>
        <v>U13B</v>
      </c>
      <c r="I3" s="1" t="str">
        <f ca="1">IFERROR(__xludf.DUMMYFUNCTION("""COMPUTED_VALUE"""),"Willowfield Harriers")</f>
        <v>Willowfield Harriers</v>
      </c>
      <c r="J3" s="3">
        <f ca="1">IFERROR(__xludf.DUMMYFUNCTION("""COMPUTED_VALUE"""),0.00380787037037037)</f>
        <v>3.8078703703703699E-3</v>
      </c>
      <c r="K3" s="1">
        <f ca="1">IFERROR(__xludf.DUMMYFUNCTION("""COMPUTED_VALUE"""),1)</f>
        <v>1</v>
      </c>
      <c r="L3" s="1" t="str">
        <f ca="1">IFERROR(__xludf.DUMMYFUNCTION("""COMPUTED_VALUE"""),"Rebecca Rossiter")</f>
        <v>Rebecca Rossiter</v>
      </c>
      <c r="M3" s="1" t="str">
        <f ca="1">IFERROR(__xludf.DUMMYFUNCTION("""COMPUTED_VALUE"""),"FO")</f>
        <v>FO</v>
      </c>
      <c r="N3" s="1" t="str">
        <f ca="1">IFERROR(__xludf.DUMMYFUNCTION("""COMPUTED_VALUE"""),"Loughview AC")</f>
        <v>Loughview AC</v>
      </c>
      <c r="O3" s="3">
        <f ca="1">IFERROR(__xludf.DUMMYFUNCTION("""COMPUTED_VALUE"""),0.0124421296296296)</f>
        <v>1.24421296296296E-2</v>
      </c>
      <c r="P3" s="1">
        <f ca="1">IFERROR(__xludf.DUMMYFUNCTION("""COMPUTED_VALUE"""),1)</f>
        <v>1</v>
      </c>
      <c r="Q3" s="1" t="str">
        <f ca="1">IFERROR(__xludf.DUMMYFUNCTION("""COMPUTED_VALUE"""),"Ciarán Cullen")</f>
        <v>Ciarán Cullen</v>
      </c>
      <c r="R3" s="1" t="str">
        <f ca="1">IFERROR(__xludf.DUMMYFUNCTION("""COMPUTED_VALUE"""),"U17B")</f>
        <v>U17B</v>
      </c>
      <c r="S3" s="1" t="str">
        <f ca="1">IFERROR(__xludf.DUMMYFUNCTION("""COMPUTED_VALUE"""),"St Michael's Enniskillen")</f>
        <v>St Michael's Enniskillen</v>
      </c>
      <c r="T3" s="3">
        <f ca="1">IFERROR(__xludf.DUMMYFUNCTION("""COMPUTED_VALUE"""),0.0075)</f>
        <v>7.4999999999999997E-3</v>
      </c>
      <c r="U3" s="1">
        <f ca="1">IFERROR(__xludf.DUMMYFUNCTION("""COMPUTED_VALUE"""),1)</f>
        <v>1</v>
      </c>
      <c r="V3" s="1" t="str">
        <f ca="1">IFERROR(__xludf.DUMMYFUNCTION("""COMPUTED_VALUE"""),"Eskander Turki")</f>
        <v>Eskander Turki</v>
      </c>
      <c r="W3" s="1" t="str">
        <f ca="1">IFERROR(__xludf.DUMMYFUNCTION("""COMPUTED_VALUE"""),"MO")</f>
        <v>MO</v>
      </c>
      <c r="X3" s="1" t="str">
        <f ca="1">IFERROR(__xludf.DUMMYFUNCTION("""COMPUTED_VALUE"""),"Annadale Striders")</f>
        <v>Annadale Striders</v>
      </c>
      <c r="Y3" s="3">
        <f ca="1">IFERROR(__xludf.DUMMYFUNCTION("""COMPUTED_VALUE"""),0.0141319444444444)</f>
        <v>1.41319444444444E-2</v>
      </c>
      <c r="Z3" s="1"/>
      <c r="AA3" s="1" t="str">
        <f ca="1">IFERROR(__xludf.DUMMYFUNCTION("""COMPUTED_VALUE"""),"Olivia McCusker")</f>
        <v>Olivia McCusker</v>
      </c>
      <c r="AB3" s="1" t="str">
        <f ca="1">IFERROR(__xludf.DUMMYFUNCTION("""COMPUTED_VALUE"""),"Loughview AC")</f>
        <v>Loughview AC</v>
      </c>
      <c r="AC3" s="3">
        <f ca="1">IFERROR(__xludf.DUMMYFUNCTION("""COMPUTED_VALUE"""),0.00413194444444444)</f>
        <v>4.1319444444444398E-3</v>
      </c>
      <c r="AD3" s="1">
        <f ca="1">IFERROR(__xludf.DUMMYFUNCTION("""COMPUTED_VALUE"""),1)</f>
        <v>1</v>
      </c>
      <c r="AE3" s="1" t="str">
        <f ca="1">IFERROR(__xludf.DUMMYFUNCTION("""COMPUTED_VALUE"""),"Noah Watt")</f>
        <v>Noah Watt</v>
      </c>
      <c r="AF3" s="1" t="str">
        <f ca="1">IFERROR(__xludf.DUMMYFUNCTION("""COMPUTED_VALUE"""),"Willowfield Harriers")</f>
        <v>Willowfield Harriers</v>
      </c>
      <c r="AG3" s="3">
        <f ca="1">IFERROR(__xludf.DUMMYFUNCTION("""COMPUTED_VALUE"""),0.00380787037037037)</f>
        <v>3.8078703703703699E-3</v>
      </c>
      <c r="AH3" s="1">
        <f ca="1">IFERROR(__xludf.DUMMYFUNCTION("""COMPUTED_VALUE"""),1)</f>
        <v>1</v>
      </c>
      <c r="AI3" s="1" t="str">
        <f ca="1">IFERROR(__xludf.DUMMYFUNCTION("""COMPUTED_VALUE"""),"Fionntan Campbell")</f>
        <v>Fionntan Campbell</v>
      </c>
      <c r="AJ3" s="1" t="str">
        <f ca="1">IFERROR(__xludf.DUMMYFUNCTION("""COMPUTED_VALUE"""),"North Belfast Harriers")</f>
        <v>North Belfast Harriers</v>
      </c>
      <c r="AK3" s="3">
        <f ca="1">IFERROR(__xludf.DUMMYFUNCTION("""COMPUTED_VALUE"""),0.0152662037037037)</f>
        <v>1.52662037037037E-2</v>
      </c>
      <c r="AL3" s="1">
        <f ca="1">IFERROR(__xludf.DUMMYFUNCTION("""COMPUTED_VALUE"""),1)</f>
        <v>1</v>
      </c>
      <c r="AM3" s="1" t="str">
        <f ca="1">IFERROR(__xludf.DUMMYFUNCTION("""COMPUTED_VALUE"""),"Annadale Striders")</f>
        <v>Annadale Striders</v>
      </c>
      <c r="AN3" s="1">
        <f ca="1">IFERROR(__xludf.DUMMYFUNCTION("""COMPUTED_VALUE"""),23)</f>
        <v>23</v>
      </c>
      <c r="AO3" s="1">
        <f ca="1">IFERROR(__xludf.DUMMYFUNCTION("""COMPUTED_VALUE"""),1)</f>
        <v>1</v>
      </c>
      <c r="AP3" s="1" t="str">
        <f ca="1">IFERROR(__xludf.DUMMYFUNCTION("""COMPUTED_VALUE"""),"Isa McCarron")</f>
        <v>Isa McCarron</v>
      </c>
      <c r="AQ3" s="1" t="str">
        <f ca="1">IFERROR(__xludf.DUMMYFUNCTION("""COMPUTED_VALUE"""),"Lagan Valley AC")</f>
        <v>Lagan Valley AC</v>
      </c>
      <c r="AR3" s="3">
        <f ca="1">IFERROR(__xludf.DUMMYFUNCTION("""COMPUTED_VALUE"""),0.0084375)</f>
        <v>8.4375000000000006E-3</v>
      </c>
      <c r="AS3" s="1">
        <f ca="1">IFERROR(__xludf.DUMMYFUNCTION("""COMPUTED_VALUE"""),1)</f>
        <v>1</v>
      </c>
      <c r="AT3" s="1" t="str">
        <f ca="1">IFERROR(__xludf.DUMMYFUNCTION("""COMPUTED_VALUE"""),"Tiarnan McManus")</f>
        <v>Tiarnan McManus</v>
      </c>
      <c r="AU3" s="1" t="str">
        <f ca="1">IFERROR(__xludf.DUMMYFUNCTION("""COMPUTED_VALUE"""),"St Michael's Enniskillen")</f>
        <v>St Michael's Enniskillen</v>
      </c>
      <c r="AV3" s="3">
        <f ca="1">IFERROR(__xludf.DUMMYFUNCTION("""COMPUTED_VALUE"""),0.00793981481481481)</f>
        <v>7.9398148148148093E-3</v>
      </c>
      <c r="AW3" s="1">
        <f ca="1">IFERROR(__xludf.DUMMYFUNCTION("""COMPUTED_VALUE"""),1)</f>
        <v>1</v>
      </c>
      <c r="AX3" s="1" t="str">
        <f ca="1">IFERROR(__xludf.DUMMYFUNCTION("""COMPUTED_VALUE"""),"Alice Monaghan")</f>
        <v>Alice Monaghan</v>
      </c>
      <c r="AY3" s="1" t="str">
        <f ca="1">IFERROR(__xludf.DUMMYFUNCTION("""COMPUTED_VALUE"""),"Lagan Valley AC")</f>
        <v>Lagan Valley AC</v>
      </c>
      <c r="AZ3" s="3">
        <f ca="1">IFERROR(__xludf.DUMMYFUNCTION("""COMPUTED_VALUE"""),0.00853009259259259)</f>
        <v>8.5300925925925909E-3</v>
      </c>
      <c r="BA3" s="1">
        <f ca="1">IFERROR(__xludf.DUMMYFUNCTION("""COMPUTED_VALUE"""),1)</f>
        <v>1</v>
      </c>
      <c r="BB3" s="1" t="str">
        <f ca="1">IFERROR(__xludf.DUMMYFUNCTION("""COMPUTED_VALUE"""),"Ciarán Cullen")</f>
        <v>Ciarán Cullen</v>
      </c>
      <c r="BC3" s="1" t="str">
        <f ca="1">IFERROR(__xludf.DUMMYFUNCTION("""COMPUTED_VALUE"""),"St Michael's Enniskillen")</f>
        <v>St Michael's Enniskillen</v>
      </c>
      <c r="BD3" s="3">
        <f ca="1">IFERROR(__xludf.DUMMYFUNCTION("""COMPUTED_VALUE"""),0.0075)</f>
        <v>7.4999999999999997E-3</v>
      </c>
      <c r="BE3" s="1">
        <f ca="1">IFERROR(__xludf.DUMMYFUNCTION("""COMPUTED_VALUE"""),1)</f>
        <v>1</v>
      </c>
      <c r="BF3" s="1" t="str">
        <f ca="1">IFERROR(__xludf.DUMMYFUNCTION("""COMPUTED_VALUE"""),"Aidan Brown")</f>
        <v>Aidan Brown</v>
      </c>
      <c r="BG3" s="1" t="str">
        <f ca="1">IFERROR(__xludf.DUMMYFUNCTION("""COMPUTED_VALUE"""),"Newcastle &amp; District AC")</f>
        <v>Newcastle &amp; District AC</v>
      </c>
      <c r="BH3" s="1">
        <f ca="1">IFERROR(__xludf.DUMMYFUNCTION("""COMPUTED_VALUE"""),1)</f>
        <v>1</v>
      </c>
      <c r="BI3" s="1" t="str">
        <f ca="1">IFERROR(__xludf.DUMMYFUNCTION("""COMPUTED_VALUE"""),"Rebecca Rossiter")</f>
        <v>Rebecca Rossiter</v>
      </c>
      <c r="BJ3" s="1" t="str">
        <f ca="1">IFERROR(__xludf.DUMMYFUNCTION("""COMPUTED_VALUE"""),"Loughview AC")</f>
        <v>Loughview AC</v>
      </c>
    </row>
    <row r="4" spans="1:62" x14ac:dyDescent="0.25">
      <c r="A4" s="1">
        <f ca="1">IFERROR(__xludf.DUMMYFUNCTION("""COMPUTED_VALUE"""),2)</f>
        <v>2</v>
      </c>
      <c r="B4" s="1" t="str">
        <f ca="1">IFERROR(__xludf.DUMMYFUNCTION("""COMPUTED_VALUE"""),"David McNeilly")</f>
        <v>David McNeilly</v>
      </c>
      <c r="C4" s="1" t="str">
        <f ca="1">IFERROR(__xludf.DUMMYFUNCTION("""COMPUTED_VALUE"""),"M40")</f>
        <v>M40</v>
      </c>
      <c r="D4" s="1" t="str">
        <f ca="1">IFERROR(__xludf.DUMMYFUNCTION("""COMPUTED_VALUE"""),"Newcastle &amp; District AC")</f>
        <v>Newcastle &amp; District AC</v>
      </c>
      <c r="E4" s="3">
        <f ca="1">IFERROR(__xludf.DUMMYFUNCTION("""COMPUTED_VALUE"""),0.0116550925925925)</f>
        <v>1.16550925925925E-2</v>
      </c>
      <c r="F4" s="1">
        <f ca="1">IFERROR(__xludf.DUMMYFUNCTION("""COMPUTED_VALUE"""),2)</f>
        <v>2</v>
      </c>
      <c r="G4" s="1" t="str">
        <f ca="1">IFERROR(__xludf.DUMMYFUNCTION("""COMPUTED_VALUE"""),"Rory Armstrong")</f>
        <v>Rory Armstrong</v>
      </c>
      <c r="H4" s="1" t="str">
        <f ca="1">IFERROR(__xludf.DUMMYFUNCTION("""COMPUTED_VALUE"""),"U13B")</f>
        <v>U13B</v>
      </c>
      <c r="I4" s="1" t="str">
        <f ca="1">IFERROR(__xludf.DUMMYFUNCTION("""COMPUTED_VALUE"""),"Lagan Valley AC")</f>
        <v>Lagan Valley AC</v>
      </c>
      <c r="J4" s="3">
        <f ca="1">IFERROR(__xludf.DUMMYFUNCTION("""COMPUTED_VALUE"""),0.00384259259259259)</f>
        <v>3.8425925925925902E-3</v>
      </c>
      <c r="K4" s="1">
        <f ca="1">IFERROR(__xludf.DUMMYFUNCTION("""COMPUTED_VALUE"""),2)</f>
        <v>2</v>
      </c>
      <c r="L4" s="1" t="str">
        <f ca="1">IFERROR(__xludf.DUMMYFUNCTION("""COMPUTED_VALUE"""),"Kerry O'Flaherty")</f>
        <v>Kerry O'Flaherty</v>
      </c>
      <c r="M4" s="1" t="str">
        <f ca="1">IFERROR(__xludf.DUMMYFUNCTION("""COMPUTED_VALUE"""),"F40")</f>
        <v>F40</v>
      </c>
      <c r="N4" s="1" t="str">
        <f ca="1">IFERROR(__xludf.DUMMYFUNCTION("""COMPUTED_VALUE"""),"Newcastle &amp; District AC")</f>
        <v>Newcastle &amp; District AC</v>
      </c>
      <c r="O4" s="3">
        <f ca="1">IFERROR(__xludf.DUMMYFUNCTION("""COMPUTED_VALUE"""),0.012824074074074)</f>
        <v>1.2824074074074E-2</v>
      </c>
      <c r="P4" s="1">
        <f ca="1">IFERROR(__xludf.DUMMYFUNCTION("""COMPUTED_VALUE"""),2)</f>
        <v>2</v>
      </c>
      <c r="Q4" s="1" t="str">
        <f ca="1">IFERROR(__xludf.DUMMYFUNCTION("""COMPUTED_VALUE"""),"Oliver Robinson")</f>
        <v>Oliver Robinson</v>
      </c>
      <c r="R4" s="1" t="str">
        <f ca="1">IFERROR(__xludf.DUMMYFUNCTION("""COMPUTED_VALUE"""),"U17B")</f>
        <v>U17B</v>
      </c>
      <c r="S4" s="1" t="str">
        <f ca="1">IFERROR(__xludf.DUMMYFUNCTION("""COMPUTED_VALUE"""),"East Down AC")</f>
        <v>East Down AC</v>
      </c>
      <c r="T4" s="3">
        <f ca="1">IFERROR(__xludf.DUMMYFUNCTION("""COMPUTED_VALUE"""),0.00768518518518518)</f>
        <v>7.6851851851851803E-3</v>
      </c>
      <c r="U4" s="1">
        <f ca="1">IFERROR(__xludf.DUMMYFUNCTION("""COMPUTED_VALUE"""),2)</f>
        <v>2</v>
      </c>
      <c r="V4" s="1" t="str">
        <f ca="1">IFERROR(__xludf.DUMMYFUNCTION("""COMPUTED_VALUE"""),"Ben Branagh")</f>
        <v>Ben Branagh</v>
      </c>
      <c r="W4" s="1" t="str">
        <f ca="1">IFERROR(__xludf.DUMMYFUNCTION("""COMPUTED_VALUE"""),"MO")</f>
        <v>MO</v>
      </c>
      <c r="X4" s="1" t="str">
        <f ca="1">IFERROR(__xludf.DUMMYFUNCTION("""COMPUTED_VALUE"""),"St.Malachy's AC")</f>
        <v>St.Malachy's AC</v>
      </c>
      <c r="Y4" s="3">
        <f ca="1">IFERROR(__xludf.DUMMYFUNCTION("""COMPUTED_VALUE"""),0.0141666666666666)</f>
        <v>1.41666666666666E-2</v>
      </c>
      <c r="Z4" s="1">
        <f ca="1">IFERROR(__xludf.DUMMYFUNCTION("""COMPUTED_VALUE"""),2)</f>
        <v>2</v>
      </c>
      <c r="AA4" s="1" t="str">
        <f ca="1">IFERROR(__xludf.DUMMYFUNCTION("""COMPUTED_VALUE"""),"Katie Keown")</f>
        <v>Katie Keown</v>
      </c>
      <c r="AB4" s="1" t="str">
        <f ca="1">IFERROR(__xludf.DUMMYFUNCTION("""COMPUTED_VALUE"""),"Lagan Valley AC")</f>
        <v>Lagan Valley AC</v>
      </c>
      <c r="AC4" s="3">
        <f ca="1">IFERROR(__xludf.DUMMYFUNCTION("""COMPUTED_VALUE"""),0.00422453703703703)</f>
        <v>4.2245370370370301E-3</v>
      </c>
      <c r="AD4" s="1">
        <f ca="1">IFERROR(__xludf.DUMMYFUNCTION("""COMPUTED_VALUE"""),2)</f>
        <v>2</v>
      </c>
      <c r="AE4" s="1" t="str">
        <f ca="1">IFERROR(__xludf.DUMMYFUNCTION("""COMPUTED_VALUE"""),"Rory Armstrong")</f>
        <v>Rory Armstrong</v>
      </c>
      <c r="AF4" s="1" t="str">
        <f ca="1">IFERROR(__xludf.DUMMYFUNCTION("""COMPUTED_VALUE"""),"Lagan Valley AC")</f>
        <v>Lagan Valley AC</v>
      </c>
      <c r="AG4" s="3">
        <f ca="1">IFERROR(__xludf.DUMMYFUNCTION("""COMPUTED_VALUE"""),0.00384259259259259)</f>
        <v>3.8425925925925902E-3</v>
      </c>
      <c r="AH4" s="1">
        <f ca="1">IFERROR(__xludf.DUMMYFUNCTION("""COMPUTED_VALUE"""),2)</f>
        <v>2</v>
      </c>
      <c r="AI4" s="1" t="str">
        <f ca="1">IFERROR(__xludf.DUMMYFUNCTION("""COMPUTED_VALUE"""),"Christopher Neill")</f>
        <v>Christopher Neill</v>
      </c>
      <c r="AJ4" s="1" t="str">
        <f ca="1">IFERROR(__xludf.DUMMYFUNCTION("""COMPUTED_VALUE"""),"Newcastle &amp; District AC")</f>
        <v>Newcastle &amp; District AC</v>
      </c>
      <c r="AK4" s="3">
        <f ca="1">IFERROR(__xludf.DUMMYFUNCTION("""COMPUTED_VALUE"""),0.0155902777777777)</f>
        <v>1.5590277777777699E-2</v>
      </c>
      <c r="AL4" s="1">
        <f ca="1">IFERROR(__xludf.DUMMYFUNCTION("""COMPUTED_VALUE"""),2)</f>
        <v>2</v>
      </c>
      <c r="AM4" s="1" t="str">
        <f ca="1">IFERROR(__xludf.DUMMYFUNCTION("""COMPUTED_VALUE"""),"North Belfast Harriers")</f>
        <v>North Belfast Harriers</v>
      </c>
      <c r="AN4" s="1">
        <f ca="1">IFERROR(__xludf.DUMMYFUNCTION("""COMPUTED_VALUE"""),32)</f>
        <v>32</v>
      </c>
      <c r="AO4" s="1">
        <f ca="1">IFERROR(__xludf.DUMMYFUNCTION("""COMPUTED_VALUE"""),2)</f>
        <v>2</v>
      </c>
      <c r="AP4" s="1" t="str">
        <f ca="1">IFERROR(__xludf.DUMMYFUNCTION("""COMPUTED_VALUE"""),"Aisling Smith")</f>
        <v>Aisling Smith</v>
      </c>
      <c r="AQ4" s="1" t="str">
        <f ca="1">IFERROR(__xludf.DUMMYFUNCTION("""COMPUTED_VALUE"""),"Ballymena &amp; Antrim AC")</f>
        <v>Ballymena &amp; Antrim AC</v>
      </c>
      <c r="AR4" s="3">
        <f ca="1">IFERROR(__xludf.DUMMYFUNCTION("""COMPUTED_VALUE"""),0.00863425925925926)</f>
        <v>8.6342592592592599E-3</v>
      </c>
      <c r="AS4" s="1">
        <f ca="1">IFERROR(__xludf.DUMMYFUNCTION("""COMPUTED_VALUE"""),2)</f>
        <v>2</v>
      </c>
      <c r="AT4" s="1" t="str">
        <f ca="1">IFERROR(__xludf.DUMMYFUNCTION("""COMPUTED_VALUE"""),"Luke McCausland")</f>
        <v>Luke McCausland</v>
      </c>
      <c r="AU4" s="1" t="str">
        <f ca="1">IFERROR(__xludf.DUMMYFUNCTION("""COMPUTED_VALUE"""),"City of Lisburn AC")</f>
        <v>City of Lisburn AC</v>
      </c>
      <c r="AV4" s="3">
        <f ca="1">IFERROR(__xludf.DUMMYFUNCTION("""COMPUTED_VALUE"""),0.00799768518518518)</f>
        <v>7.9976851851851806E-3</v>
      </c>
      <c r="AW4" s="1">
        <f ca="1">IFERROR(__xludf.DUMMYFUNCTION("""COMPUTED_VALUE"""),2)</f>
        <v>2</v>
      </c>
      <c r="AX4" s="1" t="str">
        <f ca="1">IFERROR(__xludf.DUMMYFUNCTION("""COMPUTED_VALUE"""),"Katie McCleery")</f>
        <v>Katie McCleery</v>
      </c>
      <c r="AY4" s="1" t="str">
        <f ca="1">IFERROR(__xludf.DUMMYFUNCTION("""COMPUTED_VALUE"""),"City of Lisburn AC")</f>
        <v>City of Lisburn AC</v>
      </c>
      <c r="AZ4" s="3">
        <f ca="1">IFERROR(__xludf.DUMMYFUNCTION("""COMPUTED_VALUE"""),0.0095949074074074)</f>
        <v>9.5949074074073992E-3</v>
      </c>
      <c r="BA4" s="1">
        <f ca="1">IFERROR(__xludf.DUMMYFUNCTION("""COMPUTED_VALUE"""),2)</f>
        <v>2</v>
      </c>
      <c r="BB4" s="1" t="str">
        <f ca="1">IFERROR(__xludf.DUMMYFUNCTION("""COMPUTED_VALUE"""),"Oliver Robinson")</f>
        <v>Oliver Robinson</v>
      </c>
      <c r="BC4" s="1" t="str">
        <f ca="1">IFERROR(__xludf.DUMMYFUNCTION("""COMPUTED_VALUE"""),"East Down AC")</f>
        <v>East Down AC</v>
      </c>
      <c r="BD4" s="3">
        <f ca="1">IFERROR(__xludf.DUMMYFUNCTION("""COMPUTED_VALUE"""),0.00768518518518518)</f>
        <v>7.6851851851851803E-3</v>
      </c>
      <c r="BE4" s="1">
        <f ca="1">IFERROR(__xludf.DUMMYFUNCTION("""COMPUTED_VALUE"""),2)</f>
        <v>2</v>
      </c>
      <c r="BF4" s="1" t="str">
        <f ca="1">IFERROR(__xludf.DUMMYFUNCTION("""COMPUTED_VALUE"""),"David McNeilly")</f>
        <v>David McNeilly</v>
      </c>
      <c r="BG4" s="1" t="str">
        <f ca="1">IFERROR(__xludf.DUMMYFUNCTION("""COMPUTED_VALUE"""),"Newcastle &amp; District AC")</f>
        <v>Newcastle &amp; District AC</v>
      </c>
      <c r="BH4" s="1">
        <f ca="1">IFERROR(__xludf.DUMMYFUNCTION("""COMPUTED_VALUE"""),2)</f>
        <v>2</v>
      </c>
      <c r="BI4" s="1" t="str">
        <f ca="1">IFERROR(__xludf.DUMMYFUNCTION("""COMPUTED_VALUE"""),"Kerry O'Flaherty")</f>
        <v>Kerry O'Flaherty</v>
      </c>
      <c r="BJ4" s="1" t="str">
        <f ca="1">IFERROR(__xludf.DUMMYFUNCTION("""COMPUTED_VALUE"""),"Newcastle &amp; District AC")</f>
        <v>Newcastle &amp; District AC</v>
      </c>
    </row>
    <row r="5" spans="1:62" x14ac:dyDescent="0.25">
      <c r="A5" s="1">
        <f ca="1">IFERROR(__xludf.DUMMYFUNCTION("""COMPUTED_VALUE"""),3)</f>
        <v>3</v>
      </c>
      <c r="B5" s="1" t="str">
        <f ca="1">IFERROR(__xludf.DUMMYFUNCTION("""COMPUTED_VALUE"""),"Garry Morrow")</f>
        <v>Garry Morrow</v>
      </c>
      <c r="C5" s="1" t="str">
        <f ca="1">IFERROR(__xludf.DUMMYFUNCTION("""COMPUTED_VALUE"""),"M35")</f>
        <v>M35</v>
      </c>
      <c r="D5" s="1" t="str">
        <f ca="1">IFERROR(__xludf.DUMMYFUNCTION("""COMPUTED_VALUE"""),"Willowfield Harriers")</f>
        <v>Willowfield Harriers</v>
      </c>
      <c r="E5" s="3">
        <f ca="1">IFERROR(__xludf.DUMMYFUNCTION("""COMPUTED_VALUE"""),0.0117476851851851)</f>
        <v>1.1747685185185101E-2</v>
      </c>
      <c r="F5" s="1">
        <f ca="1">IFERROR(__xludf.DUMMYFUNCTION("""COMPUTED_VALUE"""),3)</f>
        <v>3</v>
      </c>
      <c r="G5" s="1" t="str">
        <f ca="1">IFERROR(__xludf.DUMMYFUNCTION("""COMPUTED_VALUE"""),"Alexander Robinson")</f>
        <v>Alexander Robinson</v>
      </c>
      <c r="H5" s="1" t="str">
        <f ca="1">IFERROR(__xludf.DUMMYFUNCTION("""COMPUTED_VALUE"""),"U13B")</f>
        <v>U13B</v>
      </c>
      <c r="I5" s="1" t="str">
        <f ca="1">IFERROR(__xludf.DUMMYFUNCTION("""COMPUTED_VALUE"""),"East Down AC")</f>
        <v>East Down AC</v>
      </c>
      <c r="J5" s="3">
        <f ca="1">IFERROR(__xludf.DUMMYFUNCTION("""COMPUTED_VALUE"""),0.0039699074074074)</f>
        <v>3.9699074074074003E-3</v>
      </c>
      <c r="K5" s="1">
        <f ca="1">IFERROR(__xludf.DUMMYFUNCTION("""COMPUTED_VALUE"""),3)</f>
        <v>3</v>
      </c>
      <c r="L5" s="1" t="str">
        <f ca="1">IFERROR(__xludf.DUMMYFUNCTION("""COMPUTED_VALUE"""),"Sarah Lavery")</f>
        <v>Sarah Lavery</v>
      </c>
      <c r="M5" s="1" t="str">
        <f ca="1">IFERROR(__xludf.DUMMYFUNCTION("""COMPUTED_VALUE"""),"FO")</f>
        <v>FO</v>
      </c>
      <c r="N5" s="1" t="str">
        <f ca="1">IFERROR(__xludf.DUMMYFUNCTION("""COMPUTED_VALUE"""),"Beechmount Harriers")</f>
        <v>Beechmount Harriers</v>
      </c>
      <c r="O5" s="3">
        <f ca="1">IFERROR(__xludf.DUMMYFUNCTION("""COMPUTED_VALUE"""),0.0129861111111111)</f>
        <v>1.2986111111111099E-2</v>
      </c>
      <c r="P5" s="1">
        <f ca="1">IFERROR(__xludf.DUMMYFUNCTION("""COMPUTED_VALUE"""),3)</f>
        <v>3</v>
      </c>
      <c r="Q5" s="1" t="str">
        <f ca="1">IFERROR(__xludf.DUMMYFUNCTION("""COMPUTED_VALUE"""),"Conor Moran")</f>
        <v>Conor Moran</v>
      </c>
      <c r="R5" s="1" t="str">
        <f ca="1">IFERROR(__xludf.DUMMYFUNCTION("""COMPUTED_VALUE"""),"U17B")</f>
        <v>U17B</v>
      </c>
      <c r="S5" s="1" t="str">
        <f ca="1">IFERROR(__xludf.DUMMYFUNCTION("""COMPUTED_VALUE"""),"Mid Ulster AC")</f>
        <v>Mid Ulster AC</v>
      </c>
      <c r="T5" s="3">
        <f ca="1">IFERROR(__xludf.DUMMYFUNCTION("""COMPUTED_VALUE"""),0.00770833333333333)</f>
        <v>7.7083333333333301E-3</v>
      </c>
      <c r="U5" s="1">
        <f ca="1">IFERROR(__xludf.DUMMYFUNCTION("""COMPUTED_VALUE"""),3)</f>
        <v>3</v>
      </c>
      <c r="V5" s="1" t="str">
        <f ca="1">IFERROR(__xludf.DUMMYFUNCTION("""COMPUTED_VALUE"""),"Adam Kirk-Smith")</f>
        <v>Adam Kirk-Smith</v>
      </c>
      <c r="W5" s="1" t="str">
        <f ca="1">IFERROR(__xludf.DUMMYFUNCTION("""COMPUTED_VALUE"""),"MO")</f>
        <v>MO</v>
      </c>
      <c r="X5" s="1" t="str">
        <f ca="1">IFERROR(__xludf.DUMMYFUNCTION("""COMPUTED_VALUE"""),"Derry Track Club")</f>
        <v>Derry Track Club</v>
      </c>
      <c r="Y5" s="3">
        <f ca="1">IFERROR(__xludf.DUMMYFUNCTION("""COMPUTED_VALUE"""),0.0144675925925925)</f>
        <v>1.4467592592592501E-2</v>
      </c>
      <c r="Z5" s="1">
        <f ca="1">IFERROR(__xludf.DUMMYFUNCTION("""COMPUTED_VALUE"""),3)</f>
        <v>3</v>
      </c>
      <c r="AA5" s="1" t="str">
        <f ca="1">IFERROR(__xludf.DUMMYFUNCTION("""COMPUTED_VALUE"""),"Lucia Steen")</f>
        <v>Lucia Steen</v>
      </c>
      <c r="AB5" s="1" t="str">
        <f ca="1">IFERROR(__xludf.DUMMYFUNCTION("""COMPUTED_VALUE"""),"City of Lisburn Athletics Club")</f>
        <v>City of Lisburn Athletics Club</v>
      </c>
      <c r="AC5" s="3">
        <f ca="1">IFERROR(__xludf.DUMMYFUNCTION("""COMPUTED_VALUE"""),0.00431712962962963)</f>
        <v>4.31712962962963E-3</v>
      </c>
      <c r="AD5" s="1">
        <f ca="1">IFERROR(__xludf.DUMMYFUNCTION("""COMPUTED_VALUE"""),3)</f>
        <v>3</v>
      </c>
      <c r="AE5" s="1" t="str">
        <f ca="1">IFERROR(__xludf.DUMMYFUNCTION("""COMPUTED_VALUE"""),"Alexander Robinson")</f>
        <v>Alexander Robinson</v>
      </c>
      <c r="AF5" s="1" t="str">
        <f ca="1">IFERROR(__xludf.DUMMYFUNCTION("""COMPUTED_VALUE"""),"East Down AC")</f>
        <v>East Down AC</v>
      </c>
      <c r="AG5" s="3">
        <f ca="1">IFERROR(__xludf.DUMMYFUNCTION("""COMPUTED_VALUE"""),0.0039699074074074)</f>
        <v>3.9699074074074003E-3</v>
      </c>
      <c r="AH5" s="1">
        <f ca="1">IFERROR(__xludf.DUMMYFUNCTION("""COMPUTED_VALUE"""),3)</f>
        <v>3</v>
      </c>
      <c r="AI5" s="1" t="str">
        <f ca="1">IFERROR(__xludf.DUMMYFUNCTION("""COMPUTED_VALUE"""),"Jake Stafford")</f>
        <v>Jake Stafford</v>
      </c>
      <c r="AJ5" s="1" t="str">
        <f ca="1">IFERROR(__xludf.DUMMYFUNCTION("""COMPUTED_VALUE"""),"Willowfield Harriers")</f>
        <v>Willowfield Harriers</v>
      </c>
      <c r="AK5" s="3">
        <f ca="1">IFERROR(__xludf.DUMMYFUNCTION("""COMPUTED_VALUE"""),0.0156134259259259)</f>
        <v>1.56134259259259E-2</v>
      </c>
      <c r="AL5" s="1">
        <f ca="1">IFERROR(__xludf.DUMMYFUNCTION("""COMPUTED_VALUE"""),3)</f>
        <v>3</v>
      </c>
      <c r="AM5" s="1" t="str">
        <f ca="1">IFERROR(__xludf.DUMMYFUNCTION("""COMPUTED_VALUE"""),"North Down AC")</f>
        <v>North Down AC</v>
      </c>
      <c r="AN5" s="1">
        <f ca="1">IFERROR(__xludf.DUMMYFUNCTION("""COMPUTED_VALUE"""),71)</f>
        <v>71</v>
      </c>
      <c r="AO5" s="1">
        <f ca="1">IFERROR(__xludf.DUMMYFUNCTION("""COMPUTED_VALUE"""),3)</f>
        <v>3</v>
      </c>
      <c r="AP5" s="1" t="str">
        <f ca="1">IFERROR(__xludf.DUMMYFUNCTION("""COMPUTED_VALUE"""),"Lily Rimmer")</f>
        <v>Lily Rimmer</v>
      </c>
      <c r="AQ5" s="1" t="str">
        <f ca="1">IFERROR(__xludf.DUMMYFUNCTION("""COMPUTED_VALUE"""),"Lagan Valley AC")</f>
        <v>Lagan Valley AC</v>
      </c>
      <c r="AR5" s="3">
        <f ca="1">IFERROR(__xludf.DUMMYFUNCTION("""COMPUTED_VALUE"""),0.00871527777777777)</f>
        <v>8.7152777777777697E-3</v>
      </c>
      <c r="AS5" s="1">
        <f ca="1">IFERROR(__xludf.DUMMYFUNCTION("""COMPUTED_VALUE"""),3)</f>
        <v>3</v>
      </c>
      <c r="AT5" s="1" t="str">
        <f ca="1">IFERROR(__xludf.DUMMYFUNCTION("""COMPUTED_VALUE"""),"Josh Hamill")</f>
        <v>Josh Hamill</v>
      </c>
      <c r="AU5" s="1" t="str">
        <f ca="1">IFERROR(__xludf.DUMMYFUNCTION("""COMPUTED_VALUE"""),"St Michael's Enniskillen")</f>
        <v>St Michael's Enniskillen</v>
      </c>
      <c r="AV5" s="3">
        <f ca="1">IFERROR(__xludf.DUMMYFUNCTION("""COMPUTED_VALUE"""),0.00848379629629629)</f>
        <v>8.4837962962962896E-3</v>
      </c>
      <c r="AW5" s="1">
        <f ca="1">IFERROR(__xludf.DUMMYFUNCTION("""COMPUTED_VALUE"""),3)</f>
        <v>3</v>
      </c>
      <c r="AX5" s="1" t="str">
        <f ca="1">IFERROR(__xludf.DUMMYFUNCTION("""COMPUTED_VALUE"""),"Lauren Taylor")</f>
        <v>Lauren Taylor</v>
      </c>
      <c r="AY5" s="1" t="str">
        <f ca="1">IFERROR(__xludf.DUMMYFUNCTION("""COMPUTED_VALUE"""),"Loughview AC")</f>
        <v>Loughview AC</v>
      </c>
      <c r="AZ5" s="3">
        <f ca="1">IFERROR(__xludf.DUMMYFUNCTION("""COMPUTED_VALUE"""),0.00962962962962963)</f>
        <v>9.6296296296296303E-3</v>
      </c>
      <c r="BA5" s="1">
        <f ca="1">IFERROR(__xludf.DUMMYFUNCTION("""COMPUTED_VALUE"""),3)</f>
        <v>3</v>
      </c>
      <c r="BB5" s="1" t="str">
        <f ca="1">IFERROR(__xludf.DUMMYFUNCTION("""COMPUTED_VALUE"""),"Conor Moran")</f>
        <v>Conor Moran</v>
      </c>
      <c r="BC5" s="1" t="str">
        <f ca="1">IFERROR(__xludf.DUMMYFUNCTION("""COMPUTED_VALUE"""),"Mid Ulster AC")</f>
        <v>Mid Ulster AC</v>
      </c>
      <c r="BD5" s="3">
        <f ca="1">IFERROR(__xludf.DUMMYFUNCTION("""COMPUTED_VALUE"""),0.00770833333333333)</f>
        <v>7.7083333333333301E-3</v>
      </c>
      <c r="BE5" s="1"/>
      <c r="BF5" s="1"/>
      <c r="BG5" s="1"/>
      <c r="BH5" s="1"/>
      <c r="BI5" s="1" t="str">
        <f ca="1">IFERROR(__xludf.DUMMYFUNCTION("""COMPUTED_VALUE""")," ")</f>
        <v xml:space="preserve"> </v>
      </c>
      <c r="BJ5" s="1" t="str">
        <f ca="1">IFERROR(__xludf.DUMMYFUNCTION("""COMPUTED_VALUE""")," ")</f>
        <v xml:space="preserve"> </v>
      </c>
    </row>
    <row r="6" spans="1:62" x14ac:dyDescent="0.25">
      <c r="A6" s="1">
        <f ca="1">IFERROR(__xludf.DUMMYFUNCTION("""COMPUTED_VALUE"""),4)</f>
        <v>4</v>
      </c>
      <c r="B6" s="1" t="str">
        <f ca="1">IFERROR(__xludf.DUMMYFUNCTION("""COMPUTED_VALUE"""),"Ciaran McKendry")</f>
        <v>Ciaran McKendry</v>
      </c>
      <c r="C6" s="1" t="str">
        <f ca="1">IFERROR(__xludf.DUMMYFUNCTION("""COMPUTED_VALUE"""),"M40")</f>
        <v>M40</v>
      </c>
      <c r="D6" s="1" t="str">
        <f ca="1">IFERROR(__xludf.DUMMYFUNCTION("""COMPUTED_VALUE"""),"Annadale Striders")</f>
        <v>Annadale Striders</v>
      </c>
      <c r="E6" s="3">
        <f ca="1">IFERROR(__xludf.DUMMYFUNCTION("""COMPUTED_VALUE"""),0.0118518518518518)</f>
        <v>1.1851851851851799E-2</v>
      </c>
      <c r="F6" s="1">
        <f ca="1">IFERROR(__xludf.DUMMYFUNCTION("""COMPUTED_VALUE"""),4)</f>
        <v>4</v>
      </c>
      <c r="G6" s="1" t="str">
        <f ca="1">IFERROR(__xludf.DUMMYFUNCTION("""COMPUTED_VALUE"""),"Olivia McCusker")</f>
        <v>Olivia McCusker</v>
      </c>
      <c r="H6" s="1" t="str">
        <f ca="1">IFERROR(__xludf.DUMMYFUNCTION("""COMPUTED_VALUE"""),"U13G")</f>
        <v>U13G</v>
      </c>
      <c r="I6" s="1" t="str">
        <f ca="1">IFERROR(__xludf.DUMMYFUNCTION("""COMPUTED_VALUE"""),"Loughview AC")</f>
        <v>Loughview AC</v>
      </c>
      <c r="J6" s="3">
        <f ca="1">IFERROR(__xludf.DUMMYFUNCTION("""COMPUTED_VALUE"""),0.00413194444444444)</f>
        <v>4.1319444444444398E-3</v>
      </c>
      <c r="K6" s="1">
        <f ca="1">IFERROR(__xludf.DUMMYFUNCTION("""COMPUTED_VALUE"""),4)</f>
        <v>4</v>
      </c>
      <c r="L6" s="1" t="str">
        <f ca="1">IFERROR(__xludf.DUMMYFUNCTION("""COMPUTED_VALUE"""),"Aine Gosling")</f>
        <v>Aine Gosling</v>
      </c>
      <c r="M6" s="1" t="str">
        <f ca="1">IFERROR(__xludf.DUMMYFUNCTION("""COMPUTED_VALUE"""),"F40")</f>
        <v>F40</v>
      </c>
      <c r="N6" s="1" t="str">
        <f ca="1">IFERROR(__xludf.DUMMYFUNCTION("""COMPUTED_VALUE"""),"Newcastle &amp; District AC")</f>
        <v>Newcastle &amp; District AC</v>
      </c>
      <c r="O6" s="3">
        <f ca="1">IFERROR(__xludf.DUMMYFUNCTION("""COMPUTED_VALUE"""),0.0131134259259259)</f>
        <v>1.31134259259259E-2</v>
      </c>
      <c r="P6" s="1">
        <f ca="1">IFERROR(__xludf.DUMMYFUNCTION("""COMPUTED_VALUE"""),4)</f>
        <v>4</v>
      </c>
      <c r="Q6" s="1" t="str">
        <f ca="1">IFERROR(__xludf.DUMMYFUNCTION("""COMPUTED_VALUE"""),"Noah Kavanagh")</f>
        <v>Noah Kavanagh</v>
      </c>
      <c r="R6" s="1" t="str">
        <f ca="1">IFERROR(__xludf.DUMMYFUNCTION("""COMPUTED_VALUE"""),"U17B")</f>
        <v>U17B</v>
      </c>
      <c r="S6" s="1" t="str">
        <f ca="1">IFERROR(__xludf.DUMMYFUNCTION("""COMPUTED_VALUE"""),"Beechmount Harriers")</f>
        <v>Beechmount Harriers</v>
      </c>
      <c r="T6" s="3">
        <f ca="1">IFERROR(__xludf.DUMMYFUNCTION("""COMPUTED_VALUE"""),0.00790509259259259)</f>
        <v>7.9050925925925903E-3</v>
      </c>
      <c r="U6" s="1">
        <f ca="1">IFERROR(__xludf.DUMMYFUNCTION("""COMPUTED_VALUE"""),4)</f>
        <v>4</v>
      </c>
      <c r="V6" s="1" t="str">
        <f ca="1">IFERROR(__xludf.DUMMYFUNCTION("""COMPUTED_VALUE"""),"Stephen Connolly")</f>
        <v>Stephen Connolly</v>
      </c>
      <c r="W6" s="1" t="str">
        <f ca="1">IFERROR(__xludf.DUMMYFUNCTION("""COMPUTED_VALUE"""),"MO")</f>
        <v>MO</v>
      </c>
      <c r="X6" s="1" t="str">
        <f ca="1">IFERROR(__xludf.DUMMYFUNCTION("""COMPUTED_VALUE"""),"Annadale Striders")</f>
        <v>Annadale Striders</v>
      </c>
      <c r="Y6" s="3">
        <f ca="1">IFERROR(__xludf.DUMMYFUNCTION("""COMPUTED_VALUE"""),0.0144907407407407)</f>
        <v>1.44907407407407E-2</v>
      </c>
      <c r="Z6" s="1">
        <f ca="1">IFERROR(__xludf.DUMMYFUNCTION("""COMPUTED_VALUE"""),4)</f>
        <v>4</v>
      </c>
      <c r="AA6" s="1" t="str">
        <f ca="1">IFERROR(__xludf.DUMMYFUNCTION("""COMPUTED_VALUE"""),"Isla Wiltshire")</f>
        <v>Isla Wiltshire</v>
      </c>
      <c r="AB6" s="1" t="str">
        <f ca="1">IFERROR(__xludf.DUMMYFUNCTION("""COMPUTED_VALUE"""),"North Belfast Harriers")</f>
        <v>North Belfast Harriers</v>
      </c>
      <c r="AC6" s="3">
        <f ca="1">IFERROR(__xludf.DUMMYFUNCTION("""COMPUTED_VALUE"""),0.00449074074074074)</f>
        <v>4.4907407407407396E-3</v>
      </c>
      <c r="AD6" s="1">
        <f ca="1">IFERROR(__xludf.DUMMYFUNCTION("""COMPUTED_VALUE"""),4)</f>
        <v>4</v>
      </c>
      <c r="AE6" s="1" t="str">
        <f ca="1">IFERROR(__xludf.DUMMYFUNCTION("""COMPUTED_VALUE"""),"Bailey Duncan")</f>
        <v>Bailey Duncan</v>
      </c>
      <c r="AF6" s="1" t="str">
        <f ca="1">IFERROR(__xludf.DUMMYFUNCTION("""COMPUTED_VALUE"""),"North Down AC")</f>
        <v>North Down AC</v>
      </c>
      <c r="AG6" s="3">
        <f ca="1">IFERROR(__xludf.DUMMYFUNCTION("""COMPUTED_VALUE"""),0.00414351851851851)</f>
        <v>4.1435185185185099E-3</v>
      </c>
      <c r="AH6" s="1">
        <f ca="1">IFERROR(__xludf.DUMMYFUNCTION("""COMPUTED_VALUE"""),4)</f>
        <v>4</v>
      </c>
      <c r="AI6" s="1" t="str">
        <f ca="1">IFERROR(__xludf.DUMMYFUNCTION("""COMPUTED_VALUE"""),"Oisin Cassidy")</f>
        <v>Oisin Cassidy</v>
      </c>
      <c r="AJ6" s="1" t="str">
        <f ca="1">IFERROR(__xludf.DUMMYFUNCTION("""COMPUTED_VALUE"""),"St Michael's Enniskillen")</f>
        <v>St Michael's Enniskillen</v>
      </c>
      <c r="AK6" s="3">
        <f ca="1">IFERROR(__xludf.DUMMYFUNCTION("""COMPUTED_VALUE"""),0.0157407407407407)</f>
        <v>1.5740740740740701E-2</v>
      </c>
      <c r="AL6" s="1">
        <f ca="1">IFERROR(__xludf.DUMMYFUNCTION("""COMPUTED_VALUE"""),4)</f>
        <v>4</v>
      </c>
      <c r="AM6" s="1" t="str">
        <f ca="1">IFERROR(__xludf.DUMMYFUNCTION("""COMPUTED_VALUE"""),"Willowfield Harriers")</f>
        <v>Willowfield Harriers</v>
      </c>
      <c r="AN6" s="1">
        <f ca="1">IFERROR(__xludf.DUMMYFUNCTION("""COMPUTED_VALUE"""),100)</f>
        <v>100</v>
      </c>
      <c r="AO6" s="1">
        <f ca="1">IFERROR(__xludf.DUMMYFUNCTION("""COMPUTED_VALUE"""),4)</f>
        <v>4</v>
      </c>
      <c r="AP6" s="1" t="str">
        <f ca="1">IFERROR(__xludf.DUMMYFUNCTION("""COMPUTED_VALUE"""),"Hazel Hughes")</f>
        <v>Hazel Hughes</v>
      </c>
      <c r="AQ6" s="1" t="str">
        <f ca="1">IFERROR(__xludf.DUMMYFUNCTION("""COMPUTED_VALUE"""),"Shercock AC")</f>
        <v>Shercock AC</v>
      </c>
      <c r="AR6" s="3">
        <f ca="1">IFERROR(__xludf.DUMMYFUNCTION("""COMPUTED_VALUE"""),0.00887731481481481)</f>
        <v>8.8773148148148101E-3</v>
      </c>
      <c r="AS6" s="1">
        <f ca="1">IFERROR(__xludf.DUMMYFUNCTION("""COMPUTED_VALUE"""),4)</f>
        <v>4</v>
      </c>
      <c r="AT6" s="1" t="str">
        <f ca="1">IFERROR(__xludf.DUMMYFUNCTION("""COMPUTED_VALUE"""),"Ashton Cusick")</f>
        <v>Ashton Cusick</v>
      </c>
      <c r="AU6" s="1" t="str">
        <f ca="1">IFERROR(__xludf.DUMMYFUNCTION("""COMPUTED_VALUE"""),"City of Lisburn AC")</f>
        <v>City of Lisburn AC</v>
      </c>
      <c r="AV6" s="3">
        <f ca="1">IFERROR(__xludf.DUMMYFUNCTION("""COMPUTED_VALUE"""),0.00856481481481481)</f>
        <v>8.5648148148148098E-3</v>
      </c>
      <c r="AW6" s="1">
        <f ca="1">IFERROR(__xludf.DUMMYFUNCTION("""COMPUTED_VALUE"""),4)</f>
        <v>4</v>
      </c>
      <c r="AX6" s="1" t="str">
        <f ca="1">IFERROR(__xludf.DUMMYFUNCTION("""COMPUTED_VALUE"""),"Ciara Savage")</f>
        <v>Ciara Savage</v>
      </c>
      <c r="AY6" s="1" t="str">
        <f ca="1">IFERROR(__xludf.DUMMYFUNCTION("""COMPUTED_VALUE"""),"Newcastle &amp; District AC")</f>
        <v>Newcastle &amp; District AC</v>
      </c>
      <c r="AZ6" s="3">
        <f ca="1">IFERROR(__xludf.DUMMYFUNCTION("""COMPUTED_VALUE"""),0.00998842592592592)</f>
        <v>9.9884259259259197E-3</v>
      </c>
      <c r="BA6" s="1">
        <f ca="1">IFERROR(__xludf.DUMMYFUNCTION("""COMPUTED_VALUE"""),4)</f>
        <v>4</v>
      </c>
      <c r="BB6" s="1" t="str">
        <f ca="1">IFERROR(__xludf.DUMMYFUNCTION("""COMPUTED_VALUE"""),"Noah Kavanagh")</f>
        <v>Noah Kavanagh</v>
      </c>
      <c r="BC6" s="1" t="str">
        <f ca="1">IFERROR(__xludf.DUMMYFUNCTION("""COMPUTED_VALUE"""),"Beechmount Harriers")</f>
        <v>Beechmount Harriers</v>
      </c>
      <c r="BD6" s="3">
        <f ca="1">IFERROR(__xludf.DUMMYFUNCTION("""COMPUTED_VALUE"""),0.00790509259259259)</f>
        <v>7.9050925925925903E-3</v>
      </c>
      <c r="BE6" s="1" t="str">
        <f ca="1">IFERROR(__xludf.DUMMYFUNCTION("""COMPUTED_VALUE"""),"M40")</f>
        <v>M40</v>
      </c>
      <c r="BF6" s="1"/>
      <c r="BG6" s="1"/>
      <c r="BH6" s="1" t="str">
        <f ca="1">IFERROR(__xludf.DUMMYFUNCTION("""COMPUTED_VALUE"""),"F35")</f>
        <v>F35</v>
      </c>
      <c r="BI6" s="1" t="str">
        <f ca="1">IFERROR(__xludf.DUMMYFUNCTION("""COMPUTED_VALUE""")," ")</f>
        <v xml:space="preserve"> </v>
      </c>
      <c r="BJ6" s="1" t="str">
        <f ca="1">IFERROR(__xludf.DUMMYFUNCTION("""COMPUTED_VALUE""")," ")</f>
        <v xml:space="preserve"> </v>
      </c>
    </row>
    <row r="7" spans="1:62" x14ac:dyDescent="0.25">
      <c r="A7" s="1">
        <f ca="1">IFERROR(__xludf.DUMMYFUNCTION("""COMPUTED_VALUE"""),5)</f>
        <v>5</v>
      </c>
      <c r="B7" s="1" t="str">
        <f ca="1">IFERROR(__xludf.DUMMYFUNCTION("""COMPUTED_VALUE"""),"Colin Roberts")</f>
        <v>Colin Roberts</v>
      </c>
      <c r="C7" s="1" t="str">
        <f ca="1">IFERROR(__xludf.DUMMYFUNCTION("""COMPUTED_VALUE"""),"M50")</f>
        <v>M50</v>
      </c>
      <c r="D7" s="1" t="str">
        <f ca="1">IFERROR(__xludf.DUMMYFUNCTION("""COMPUTED_VALUE"""),"City of Derry AC Spartans")</f>
        <v>City of Derry AC Spartans</v>
      </c>
      <c r="E7" s="3">
        <f ca="1">IFERROR(__xludf.DUMMYFUNCTION("""COMPUTED_VALUE"""),0.0119675925925925)</f>
        <v>1.19675925925925E-2</v>
      </c>
      <c r="F7" s="1">
        <f ca="1">IFERROR(__xludf.DUMMYFUNCTION("""COMPUTED_VALUE"""),5)</f>
        <v>5</v>
      </c>
      <c r="G7" s="1" t="str">
        <f ca="1">IFERROR(__xludf.DUMMYFUNCTION("""COMPUTED_VALUE"""),"Bailey Duncan")</f>
        <v>Bailey Duncan</v>
      </c>
      <c r="H7" s="1" t="str">
        <f ca="1">IFERROR(__xludf.DUMMYFUNCTION("""COMPUTED_VALUE"""),"U13B")</f>
        <v>U13B</v>
      </c>
      <c r="I7" s="1" t="str">
        <f ca="1">IFERROR(__xludf.DUMMYFUNCTION("""COMPUTED_VALUE"""),"North Down AC")</f>
        <v>North Down AC</v>
      </c>
      <c r="J7" s="3">
        <f ca="1">IFERROR(__xludf.DUMMYFUNCTION("""COMPUTED_VALUE"""),0.00414351851851851)</f>
        <v>4.1435185185185099E-3</v>
      </c>
      <c r="K7" s="1">
        <f ca="1">IFERROR(__xludf.DUMMYFUNCTION("""COMPUTED_VALUE"""),5)</f>
        <v>5</v>
      </c>
      <c r="L7" s="1" t="str">
        <f ca="1">IFERROR(__xludf.DUMMYFUNCTION("""COMPUTED_VALUE"""),"Danielle Fegan")</f>
        <v>Danielle Fegan</v>
      </c>
      <c r="M7" s="1" t="str">
        <f ca="1">IFERROR(__xludf.DUMMYFUNCTION("""COMPUTED_VALUE"""),"FO")</f>
        <v>FO</v>
      </c>
      <c r="N7" s="1" t="str">
        <f ca="1">IFERROR(__xludf.DUMMYFUNCTION("""COMPUTED_VALUE"""),"Armagh AC")</f>
        <v>Armagh AC</v>
      </c>
      <c r="O7" s="3">
        <f ca="1">IFERROR(__xludf.DUMMYFUNCTION("""COMPUTED_VALUE"""),0.013136574074074)</f>
        <v>1.3136574074074E-2</v>
      </c>
      <c r="P7" s="1">
        <f ca="1">IFERROR(__xludf.DUMMYFUNCTION("""COMPUTED_VALUE"""),5)</f>
        <v>5</v>
      </c>
      <c r="Q7" s="1" t="str">
        <f ca="1">IFERROR(__xludf.DUMMYFUNCTION("""COMPUTED_VALUE"""),"Tiarnan McManus")</f>
        <v>Tiarnan McManus</v>
      </c>
      <c r="R7" s="1" t="str">
        <f ca="1">IFERROR(__xludf.DUMMYFUNCTION("""COMPUTED_VALUE"""),"U15B")</f>
        <v>U15B</v>
      </c>
      <c r="S7" s="1" t="str">
        <f ca="1">IFERROR(__xludf.DUMMYFUNCTION("""COMPUTED_VALUE"""),"St Michael's Enniskillen")</f>
        <v>St Michael's Enniskillen</v>
      </c>
      <c r="T7" s="3">
        <f ca="1">IFERROR(__xludf.DUMMYFUNCTION("""COMPUTED_VALUE"""),0.00793981481481481)</f>
        <v>7.9398148148148093E-3</v>
      </c>
      <c r="U7" s="1">
        <f ca="1">IFERROR(__xludf.DUMMYFUNCTION("""COMPUTED_VALUE"""),5)</f>
        <v>5</v>
      </c>
      <c r="V7" s="1" t="str">
        <f ca="1">IFERROR(__xludf.DUMMYFUNCTION("""COMPUTED_VALUE"""),"Gavin McCaffrey")</f>
        <v>Gavin McCaffrey</v>
      </c>
      <c r="W7" s="1" t="str">
        <f ca="1">IFERROR(__xludf.DUMMYFUNCTION("""COMPUTED_VALUE"""),"MO")</f>
        <v>MO</v>
      </c>
      <c r="X7" s="1" t="str">
        <f ca="1">IFERROR(__xludf.DUMMYFUNCTION("""COMPUTED_VALUE"""),"North Belfast Harriers")</f>
        <v>North Belfast Harriers</v>
      </c>
      <c r="Y7" s="3">
        <f ca="1">IFERROR(__xludf.DUMMYFUNCTION("""COMPUTED_VALUE"""),0.0149652777777777)</f>
        <v>1.4965277777777701E-2</v>
      </c>
      <c r="Z7" s="1">
        <f ca="1">IFERROR(__xludf.DUMMYFUNCTION("""COMPUTED_VALUE"""),5)</f>
        <v>5</v>
      </c>
      <c r="AA7" s="1" t="str">
        <f ca="1">IFERROR(__xludf.DUMMYFUNCTION("""COMPUTED_VALUE"""),"Frances Elliott")</f>
        <v>Frances Elliott</v>
      </c>
      <c r="AB7" s="1" t="str">
        <f ca="1">IFERROR(__xludf.DUMMYFUNCTION("""COMPUTED_VALUE"""),"Gosforth Harriers AC")</f>
        <v>Gosforth Harriers AC</v>
      </c>
      <c r="AC7" s="3">
        <f ca="1">IFERROR(__xludf.DUMMYFUNCTION("""COMPUTED_VALUE"""),0.00452546296296296)</f>
        <v>4.5254629629629603E-3</v>
      </c>
      <c r="AD7" s="1">
        <f ca="1">IFERROR(__xludf.DUMMYFUNCTION("""COMPUTED_VALUE"""),5)</f>
        <v>5</v>
      </c>
      <c r="AE7" s="1" t="str">
        <f ca="1">IFERROR(__xludf.DUMMYFUNCTION("""COMPUTED_VALUE"""),"Michael McGowan")</f>
        <v>Michael McGowan</v>
      </c>
      <c r="AF7" s="1" t="str">
        <f ca="1">IFERROR(__xludf.DUMMYFUNCTION("""COMPUTED_VALUE"""),"St Michael's Enniskillen")</f>
        <v>St Michael's Enniskillen</v>
      </c>
      <c r="AG7" s="3">
        <f ca="1">IFERROR(__xludf.DUMMYFUNCTION("""COMPUTED_VALUE"""),0.00417824074074074)</f>
        <v>4.1782407407407402E-3</v>
      </c>
      <c r="AH7" s="1">
        <f ca="1">IFERROR(__xludf.DUMMYFUNCTION("""COMPUTED_VALUE"""),5)</f>
        <v>5</v>
      </c>
      <c r="AI7" s="1" t="str">
        <f ca="1">IFERROR(__xludf.DUMMYFUNCTION("""COMPUTED_VALUE"""),"Matthew Carville")</f>
        <v>Matthew Carville</v>
      </c>
      <c r="AJ7" s="1" t="str">
        <f ca="1">IFERROR(__xludf.DUMMYFUNCTION("""COMPUTED_VALUE"""),"Ballydrain Harriers")</f>
        <v>Ballydrain Harriers</v>
      </c>
      <c r="AK7" s="3">
        <f ca="1">IFERROR(__xludf.DUMMYFUNCTION("""COMPUTED_VALUE"""),0.0164583333333333)</f>
        <v>1.6458333333333301E-2</v>
      </c>
      <c r="AL7" s="1">
        <f ca="1">IFERROR(__xludf.DUMMYFUNCTION("""COMPUTED_VALUE"""),5)</f>
        <v>5</v>
      </c>
      <c r="AM7" s="1" t="str">
        <f ca="1">IFERROR(__xludf.DUMMYFUNCTION("""COMPUTED_VALUE"""),"Ballydrain Harriers")</f>
        <v>Ballydrain Harriers</v>
      </c>
      <c r="AN7" s="1">
        <f ca="1">IFERROR(__xludf.DUMMYFUNCTION("""COMPUTED_VALUE"""),166)</f>
        <v>166</v>
      </c>
      <c r="AO7" s="1">
        <f ca="1">IFERROR(__xludf.DUMMYFUNCTION("""COMPUTED_VALUE"""),5)</f>
        <v>5</v>
      </c>
      <c r="AP7" s="1" t="str">
        <f ca="1">IFERROR(__xludf.DUMMYFUNCTION("""COMPUTED_VALUE"""),"Cora Scullion")</f>
        <v>Cora Scullion</v>
      </c>
      <c r="AQ7" s="1" t="str">
        <f ca="1">IFERROR(__xludf.DUMMYFUNCTION("""COMPUTED_VALUE"""),"Omagh Harriers")</f>
        <v>Omagh Harriers</v>
      </c>
      <c r="AR7" s="3">
        <f ca="1">IFERROR(__xludf.DUMMYFUNCTION("""COMPUTED_VALUE"""),0.00890046296296296)</f>
        <v>8.9004629629629607E-3</v>
      </c>
      <c r="AS7" s="1">
        <f ca="1">IFERROR(__xludf.DUMMYFUNCTION("""COMPUTED_VALUE"""),5)</f>
        <v>5</v>
      </c>
      <c r="AT7" s="1" t="str">
        <f ca="1">IFERROR(__xludf.DUMMYFUNCTION("""COMPUTED_VALUE"""),"Conall Rasdale")</f>
        <v>Conall Rasdale</v>
      </c>
      <c r="AU7" s="1" t="str">
        <f ca="1">IFERROR(__xludf.DUMMYFUNCTION("""COMPUTED_VALUE"""),"St Michael's Enniskillen")</f>
        <v>St Michael's Enniskillen</v>
      </c>
      <c r="AV7" s="3">
        <f ca="1">IFERROR(__xludf.DUMMYFUNCTION("""COMPUTED_VALUE"""),0.00862268518518518)</f>
        <v>8.6226851851851794E-3</v>
      </c>
      <c r="AW7" s="1">
        <f ca="1">IFERROR(__xludf.DUMMYFUNCTION("""COMPUTED_VALUE"""),5)</f>
        <v>5</v>
      </c>
      <c r="AX7" s="1" t="str">
        <f ca="1">IFERROR(__xludf.DUMMYFUNCTION("""COMPUTED_VALUE"""),"Amy Evans")</f>
        <v>Amy Evans</v>
      </c>
      <c r="AY7" s="1" t="str">
        <f ca="1">IFERROR(__xludf.DUMMYFUNCTION("""COMPUTED_VALUE"""),"Beechmount Harriers")</f>
        <v>Beechmount Harriers</v>
      </c>
      <c r="AZ7" s="3">
        <f ca="1">IFERROR(__xludf.DUMMYFUNCTION("""COMPUTED_VALUE"""),0.0100925925925925)</f>
        <v>1.00925925925925E-2</v>
      </c>
      <c r="BA7" s="1">
        <f ca="1">IFERROR(__xludf.DUMMYFUNCTION("""COMPUTED_VALUE"""),5)</f>
        <v>5</v>
      </c>
      <c r="BB7" s="1" t="str">
        <f ca="1">IFERROR(__xludf.DUMMYFUNCTION("""COMPUTED_VALUE"""),"Patrick Sprice")</f>
        <v>Patrick Sprice</v>
      </c>
      <c r="BC7" s="1" t="str">
        <f ca="1">IFERROR(__xludf.DUMMYFUNCTION("""COMPUTED_VALUE"""),"St Michael's Enniskillen")</f>
        <v>St Michael's Enniskillen</v>
      </c>
      <c r="BD7" s="3">
        <f ca="1">IFERROR(__xludf.DUMMYFUNCTION("""COMPUTED_VALUE"""),0.00810185185185185)</f>
        <v>8.1018518518518497E-3</v>
      </c>
      <c r="BE7" s="1">
        <f ca="1">IFERROR(__xludf.DUMMYFUNCTION("""COMPUTED_VALUE"""),1)</f>
        <v>1</v>
      </c>
      <c r="BF7" s="1" t="str">
        <f ca="1">IFERROR(__xludf.DUMMYFUNCTION("""COMPUTED_VALUE"""),"Ciaran McKendry")</f>
        <v>Ciaran McKendry</v>
      </c>
      <c r="BG7" s="1" t="str">
        <f ca="1">IFERROR(__xludf.DUMMYFUNCTION("""COMPUTED_VALUE"""),"Annadale Striders")</f>
        <v>Annadale Striders</v>
      </c>
      <c r="BH7" s="1">
        <f ca="1">IFERROR(__xludf.DUMMYFUNCTION("""COMPUTED_VALUE"""),1)</f>
        <v>1</v>
      </c>
      <c r="BI7" s="1" t="str">
        <f ca="1">IFERROR(__xludf.DUMMYFUNCTION("""COMPUTED_VALUE"""),"Aine Gosling")</f>
        <v>Aine Gosling</v>
      </c>
      <c r="BJ7" s="1" t="str">
        <f ca="1">IFERROR(__xludf.DUMMYFUNCTION("""COMPUTED_VALUE"""),"Newcastle &amp; District AC")</f>
        <v>Newcastle &amp; District AC</v>
      </c>
    </row>
    <row r="8" spans="1:62" x14ac:dyDescent="0.25">
      <c r="A8" s="1">
        <f ca="1">IFERROR(__xludf.DUMMYFUNCTION("""COMPUTED_VALUE"""),6)</f>
        <v>6</v>
      </c>
      <c r="B8" s="1" t="str">
        <f ca="1">IFERROR(__xludf.DUMMYFUNCTION("""COMPUTED_VALUE"""),"Paul Carroll")</f>
        <v>Paul Carroll</v>
      </c>
      <c r="C8" s="1" t="str">
        <f ca="1">IFERROR(__xludf.DUMMYFUNCTION("""COMPUTED_VALUE"""),"M50")</f>
        <v>M50</v>
      </c>
      <c r="D8" s="1" t="str">
        <f ca="1">IFERROR(__xludf.DUMMYFUNCTION("""COMPUTED_VALUE"""),"Annadale Striders")</f>
        <v>Annadale Striders</v>
      </c>
      <c r="E8" s="3">
        <f ca="1">IFERROR(__xludf.DUMMYFUNCTION("""COMPUTED_VALUE"""),0.0119675925925925)</f>
        <v>1.19675925925925E-2</v>
      </c>
      <c r="F8" s="1">
        <f ca="1">IFERROR(__xludf.DUMMYFUNCTION("""COMPUTED_VALUE"""),6)</f>
        <v>6</v>
      </c>
      <c r="G8" s="1" t="str">
        <f ca="1">IFERROR(__xludf.DUMMYFUNCTION("""COMPUTED_VALUE"""),"Michael McGowan")</f>
        <v>Michael McGowan</v>
      </c>
      <c r="H8" s="1" t="str">
        <f ca="1">IFERROR(__xludf.DUMMYFUNCTION("""COMPUTED_VALUE"""),"U13B")</f>
        <v>U13B</v>
      </c>
      <c r="I8" s="1" t="str">
        <f ca="1">IFERROR(__xludf.DUMMYFUNCTION("""COMPUTED_VALUE"""),"St Michael's Enniskillen")</f>
        <v>St Michael's Enniskillen</v>
      </c>
      <c r="J8" s="3">
        <f ca="1">IFERROR(__xludf.DUMMYFUNCTION("""COMPUTED_VALUE"""),0.00417824074074074)</f>
        <v>4.1782407407407402E-3</v>
      </c>
      <c r="K8" s="1">
        <f ca="1">IFERROR(__xludf.DUMMYFUNCTION("""COMPUTED_VALUE"""),6)</f>
        <v>6</v>
      </c>
      <c r="L8" s="1" t="str">
        <f ca="1">IFERROR(__xludf.DUMMYFUNCTION("""COMPUTED_VALUE"""),"Joanne Mills")</f>
        <v>Joanne Mills</v>
      </c>
      <c r="M8" s="1" t="str">
        <f ca="1">IFERROR(__xludf.DUMMYFUNCTION("""COMPUTED_VALUE"""),"FO")</f>
        <v>FO</v>
      </c>
      <c r="N8" s="1" t="str">
        <f ca="1">IFERROR(__xludf.DUMMYFUNCTION("""COMPUTED_VALUE"""),"Newcastle &amp; District AC")</f>
        <v>Newcastle &amp; District AC</v>
      </c>
      <c r="O8" s="3">
        <f ca="1">IFERROR(__xludf.DUMMYFUNCTION("""COMPUTED_VALUE"""),0.0133333333333333)</f>
        <v>1.3333333333333299E-2</v>
      </c>
      <c r="P8" s="1">
        <f ca="1">IFERROR(__xludf.DUMMYFUNCTION("""COMPUTED_VALUE"""),6)</f>
        <v>6</v>
      </c>
      <c r="Q8" s="1" t="str">
        <f ca="1">IFERROR(__xludf.DUMMYFUNCTION("""COMPUTED_VALUE"""),"Luke McCausland")</f>
        <v>Luke McCausland</v>
      </c>
      <c r="R8" s="1" t="str">
        <f ca="1">IFERROR(__xludf.DUMMYFUNCTION("""COMPUTED_VALUE"""),"U15B")</f>
        <v>U15B</v>
      </c>
      <c r="S8" s="1" t="str">
        <f ca="1">IFERROR(__xludf.DUMMYFUNCTION("""COMPUTED_VALUE"""),"City of Lisburn AC")</f>
        <v>City of Lisburn AC</v>
      </c>
      <c r="T8" s="3">
        <f ca="1">IFERROR(__xludf.DUMMYFUNCTION("""COMPUTED_VALUE"""),0.00799768518518518)</f>
        <v>7.9976851851851806E-3</v>
      </c>
      <c r="U8" s="1">
        <f ca="1">IFERROR(__xludf.DUMMYFUNCTION("""COMPUTED_VALUE"""),6)</f>
        <v>6</v>
      </c>
      <c r="V8" s="1" t="str">
        <f ca="1">IFERROR(__xludf.DUMMYFUNCTION("""COMPUTED_VALUE"""),"Owen Carleton")</f>
        <v>Owen Carleton</v>
      </c>
      <c r="W8" s="1" t="str">
        <f ca="1">IFERROR(__xludf.DUMMYFUNCTION("""COMPUTED_VALUE"""),"MO")</f>
        <v>MO</v>
      </c>
      <c r="X8" s="1" t="str">
        <f ca="1">IFERROR(__xludf.DUMMYFUNCTION("""COMPUTED_VALUE"""),"Annadale Striders")</f>
        <v>Annadale Striders</v>
      </c>
      <c r="Y8" s="3">
        <f ca="1">IFERROR(__xludf.DUMMYFUNCTION("""COMPUTED_VALUE"""),0.0150231481481481)</f>
        <v>1.50231481481481E-2</v>
      </c>
      <c r="Z8" s="1">
        <f ca="1">IFERROR(__xludf.DUMMYFUNCTION("""COMPUTED_VALUE"""),6)</f>
        <v>6</v>
      </c>
      <c r="AA8" s="1" t="str">
        <f ca="1">IFERROR(__xludf.DUMMYFUNCTION("""COMPUTED_VALUE"""),"Cecily Park")</f>
        <v>Cecily Park</v>
      </c>
      <c r="AB8" s="1" t="str">
        <f ca="1">IFERROR(__xludf.DUMMYFUNCTION("""COMPUTED_VALUE"""),"Willowfield Harriers")</f>
        <v>Willowfield Harriers</v>
      </c>
      <c r="AC8" s="3">
        <f ca="1">IFERROR(__xludf.DUMMYFUNCTION("""COMPUTED_VALUE"""),0.00458333333333333)</f>
        <v>4.5833333333333299E-3</v>
      </c>
      <c r="AD8" s="1">
        <f ca="1">IFERROR(__xludf.DUMMYFUNCTION("""COMPUTED_VALUE"""),6)</f>
        <v>6</v>
      </c>
      <c r="AE8" s="1" t="str">
        <f ca="1">IFERROR(__xludf.DUMMYFUNCTION("""COMPUTED_VALUE"""),"Cormac Leheny")</f>
        <v>Cormac Leheny</v>
      </c>
      <c r="AF8" s="1" t="str">
        <f ca="1">IFERROR(__xludf.DUMMYFUNCTION("""COMPUTED_VALUE"""),"North Belfast Harriers")</f>
        <v>North Belfast Harriers</v>
      </c>
      <c r="AG8" s="3">
        <f ca="1">IFERROR(__xludf.DUMMYFUNCTION("""COMPUTED_VALUE"""),0.00418981481481481)</f>
        <v>4.1898148148148103E-3</v>
      </c>
      <c r="AH8" s="1">
        <f ca="1">IFERROR(__xludf.DUMMYFUNCTION("""COMPUTED_VALUE"""),6)</f>
        <v>6</v>
      </c>
      <c r="AI8" s="1" t="str">
        <f ca="1">IFERROR(__xludf.DUMMYFUNCTION("""COMPUTED_VALUE"""),"Brendan McCambridge")</f>
        <v>Brendan McCambridge</v>
      </c>
      <c r="AJ8" s="1" t="str">
        <f ca="1">IFERROR(__xludf.DUMMYFUNCTION("""COMPUTED_VALUE"""),"North Belfast Harriers")</f>
        <v>North Belfast Harriers</v>
      </c>
      <c r="AK8" s="3">
        <f ca="1">IFERROR(__xludf.DUMMYFUNCTION("""COMPUTED_VALUE"""),0.0169675925925925)</f>
        <v>1.6967592592592499E-2</v>
      </c>
      <c r="AL8" s="1">
        <f ca="1">IFERROR(__xludf.DUMMYFUNCTION("""COMPUTED_VALUE"""),6)</f>
        <v>6</v>
      </c>
      <c r="AM8" s="1" t="str">
        <f ca="1">IFERROR(__xludf.DUMMYFUNCTION("""COMPUTED_VALUE"""),"Victoria Park &amp; Connswater AC")</f>
        <v>Victoria Park &amp; Connswater AC</v>
      </c>
      <c r="AN8" s="1">
        <f ca="1">IFERROR(__xludf.DUMMYFUNCTION("""COMPUTED_VALUE"""),229)</f>
        <v>229</v>
      </c>
      <c r="AO8" s="1">
        <f ca="1">IFERROR(__xludf.DUMMYFUNCTION("""COMPUTED_VALUE"""),6)</f>
        <v>6</v>
      </c>
      <c r="AP8" s="1" t="str">
        <f ca="1">IFERROR(__xludf.DUMMYFUNCTION("""COMPUTED_VALUE"""),"Holly Collins")</f>
        <v>Holly Collins</v>
      </c>
      <c r="AQ8" s="1" t="str">
        <f ca="1">IFERROR(__xludf.DUMMYFUNCTION("""COMPUTED_VALUE"""),"North Belfast Harriers")</f>
        <v>North Belfast Harriers</v>
      </c>
      <c r="AR8" s="3">
        <f ca="1">IFERROR(__xludf.DUMMYFUNCTION("""COMPUTED_VALUE"""),0.00893518518518518)</f>
        <v>8.9351851851851797E-3</v>
      </c>
      <c r="AS8" s="1">
        <f ca="1">IFERROR(__xludf.DUMMYFUNCTION("""COMPUTED_VALUE"""),6)</f>
        <v>6</v>
      </c>
      <c r="AT8" s="1" t="str">
        <f ca="1">IFERROR(__xludf.DUMMYFUNCTION("""COMPUTED_VALUE"""),"Tom Mc Mahon")</f>
        <v>Tom Mc Mahon</v>
      </c>
      <c r="AU8" s="1" t="str">
        <f ca="1">IFERROR(__xludf.DUMMYFUNCTION("""COMPUTED_VALUE"""),"St Michael's Enniskillen")</f>
        <v>St Michael's Enniskillen</v>
      </c>
      <c r="AV8" s="3">
        <f ca="1">IFERROR(__xludf.DUMMYFUNCTION("""COMPUTED_VALUE"""),0.00875)</f>
        <v>8.7500000000000008E-3</v>
      </c>
      <c r="AW8" s="1">
        <f ca="1">IFERROR(__xludf.DUMMYFUNCTION("""COMPUTED_VALUE"""),6)</f>
        <v>6</v>
      </c>
      <c r="AX8" s="1" t="str">
        <f ca="1">IFERROR(__xludf.DUMMYFUNCTION("""COMPUTED_VALUE"""),"Blathnald Loughran")</f>
        <v>Blathnald Loughran</v>
      </c>
      <c r="AY8" s="1" t="str">
        <f ca="1">IFERROR(__xludf.DUMMYFUNCTION("""COMPUTED_VALUE"""),"Beechmount Harriers")</f>
        <v>Beechmount Harriers</v>
      </c>
      <c r="AZ8" s="3">
        <f ca="1">IFERROR(__xludf.DUMMYFUNCTION("""COMPUTED_VALUE"""),0.0106018518518518)</f>
        <v>1.06018518518518E-2</v>
      </c>
      <c r="BA8" s="1">
        <f ca="1">IFERROR(__xludf.DUMMYFUNCTION("""COMPUTED_VALUE"""),6)</f>
        <v>6</v>
      </c>
      <c r="BB8" s="1" t="str">
        <f ca="1">IFERROR(__xludf.DUMMYFUNCTION("""COMPUTED_VALUE"""),"Damiel Curran")</f>
        <v>Damiel Curran</v>
      </c>
      <c r="BC8" s="1" t="str">
        <f ca="1">IFERROR(__xludf.DUMMYFUNCTION("""COMPUTED_VALUE"""),"St Michael's Enniskillen")</f>
        <v>St Michael's Enniskillen</v>
      </c>
      <c r="BD8" s="3">
        <f ca="1">IFERROR(__xludf.DUMMYFUNCTION("""COMPUTED_VALUE"""),0.00811342592592592)</f>
        <v>8.1134259259259198E-3</v>
      </c>
      <c r="BE8" s="1">
        <f ca="1">IFERROR(__xludf.DUMMYFUNCTION("""COMPUTED_VALUE"""),2)</f>
        <v>2</v>
      </c>
      <c r="BF8" s="1" t="str">
        <f ca="1">IFERROR(__xludf.DUMMYFUNCTION("""COMPUTED_VALUE"""),"Colin Roberts")</f>
        <v>Colin Roberts</v>
      </c>
      <c r="BG8" s="1" t="str">
        <f ca="1">IFERROR(__xludf.DUMMYFUNCTION("""COMPUTED_VALUE"""),"City of Derry AC Spartans")</f>
        <v>City of Derry AC Spartans</v>
      </c>
      <c r="BH8" s="1">
        <f ca="1">IFERROR(__xludf.DUMMYFUNCTION("""COMPUTED_VALUE"""),2)</f>
        <v>2</v>
      </c>
      <c r="BI8" s="1" t="str">
        <f ca="1">IFERROR(__xludf.DUMMYFUNCTION("""COMPUTED_VALUE"""),"Fiona McQuillan")</f>
        <v>Fiona McQuillan</v>
      </c>
      <c r="BJ8" s="1" t="str">
        <f ca="1">IFERROR(__xludf.DUMMYFUNCTION("""COMPUTED_VALUE"""),"North Down AC")</f>
        <v>North Down AC</v>
      </c>
    </row>
    <row r="9" spans="1:62" x14ac:dyDescent="0.25">
      <c r="A9" s="1">
        <f ca="1">IFERROR(__xludf.DUMMYFUNCTION("""COMPUTED_VALUE"""),7)</f>
        <v>7</v>
      </c>
      <c r="B9" s="1" t="str">
        <f ca="1">IFERROR(__xludf.DUMMYFUNCTION("""COMPUTED_VALUE"""),"Kieran Scullion")</f>
        <v>Kieran Scullion</v>
      </c>
      <c r="C9" s="1" t="str">
        <f ca="1">IFERROR(__xludf.DUMMYFUNCTION("""COMPUTED_VALUE"""),"M40")</f>
        <v>M40</v>
      </c>
      <c r="D9" s="1" t="str">
        <f ca="1">IFERROR(__xludf.DUMMYFUNCTION("""COMPUTED_VALUE"""),"Ballymena Runners")</f>
        <v>Ballymena Runners</v>
      </c>
      <c r="E9" s="3">
        <f ca="1">IFERROR(__xludf.DUMMYFUNCTION("""COMPUTED_VALUE"""),0.0119791666666666)</f>
        <v>1.19791666666666E-2</v>
      </c>
      <c r="F9" s="1">
        <f ca="1">IFERROR(__xludf.DUMMYFUNCTION("""COMPUTED_VALUE"""),7)</f>
        <v>7</v>
      </c>
      <c r="G9" s="1" t="str">
        <f ca="1">IFERROR(__xludf.DUMMYFUNCTION("""COMPUTED_VALUE"""),"Cormac Leheny")</f>
        <v>Cormac Leheny</v>
      </c>
      <c r="H9" s="1" t="str">
        <f ca="1">IFERROR(__xludf.DUMMYFUNCTION("""COMPUTED_VALUE"""),"U13B")</f>
        <v>U13B</v>
      </c>
      <c r="I9" s="1" t="str">
        <f ca="1">IFERROR(__xludf.DUMMYFUNCTION("""COMPUTED_VALUE"""),"North Belfast Harriers")</f>
        <v>North Belfast Harriers</v>
      </c>
      <c r="J9" s="3">
        <f ca="1">IFERROR(__xludf.DUMMYFUNCTION("""COMPUTED_VALUE"""),0.00418981481481481)</f>
        <v>4.1898148148148103E-3</v>
      </c>
      <c r="K9" s="1">
        <f ca="1">IFERROR(__xludf.DUMMYFUNCTION("""COMPUTED_VALUE"""),7)</f>
        <v>7</v>
      </c>
      <c r="L9" s="1" t="str">
        <f ca="1">IFERROR(__xludf.DUMMYFUNCTION("""COMPUTED_VALUE"""),"Eimear Fitzpatrick")</f>
        <v>Eimear Fitzpatrick</v>
      </c>
      <c r="M9" s="1" t="str">
        <f ca="1">IFERROR(__xludf.DUMMYFUNCTION("""COMPUTED_VALUE"""),"FO")</f>
        <v>FO</v>
      </c>
      <c r="N9" s="1" t="str">
        <f ca="1">IFERROR(__xludf.DUMMYFUNCTION("""COMPUTED_VALUE"""),"DCH")</f>
        <v>DCH</v>
      </c>
      <c r="O9" s="3">
        <f ca="1">IFERROR(__xludf.DUMMYFUNCTION("""COMPUTED_VALUE"""),0.0134375)</f>
        <v>1.34375E-2</v>
      </c>
      <c r="P9" s="1">
        <f ca="1">IFERROR(__xludf.DUMMYFUNCTION("""COMPUTED_VALUE"""),7)</f>
        <v>7</v>
      </c>
      <c r="Q9" s="1" t="str">
        <f ca="1">IFERROR(__xludf.DUMMYFUNCTION("""COMPUTED_VALUE"""),"Patrick Sprice")</f>
        <v>Patrick Sprice</v>
      </c>
      <c r="R9" s="1" t="str">
        <f ca="1">IFERROR(__xludf.DUMMYFUNCTION("""COMPUTED_VALUE"""),"U17B")</f>
        <v>U17B</v>
      </c>
      <c r="S9" s="1" t="str">
        <f ca="1">IFERROR(__xludf.DUMMYFUNCTION("""COMPUTED_VALUE"""),"St Michael's Enniskillen")</f>
        <v>St Michael's Enniskillen</v>
      </c>
      <c r="T9" s="3">
        <f ca="1">IFERROR(__xludf.DUMMYFUNCTION("""COMPUTED_VALUE"""),0.00810185185185185)</f>
        <v>8.1018518518518497E-3</v>
      </c>
      <c r="U9" s="1">
        <f ca="1">IFERROR(__xludf.DUMMYFUNCTION("""COMPUTED_VALUE"""),7)</f>
        <v>7</v>
      </c>
      <c r="V9" s="1" t="str">
        <f ca="1">IFERROR(__xludf.DUMMYFUNCTION("""COMPUTED_VALUE"""),"Mark McKinstry")</f>
        <v>Mark McKinstry</v>
      </c>
      <c r="W9" s="1" t="str">
        <f ca="1">IFERROR(__xludf.DUMMYFUNCTION("""COMPUTED_VALUE"""),"M35")</f>
        <v>M35</v>
      </c>
      <c r="X9" s="1" t="str">
        <f ca="1">IFERROR(__xludf.DUMMYFUNCTION("""COMPUTED_VALUE"""),"North Belfast Harriers")</f>
        <v>North Belfast Harriers</v>
      </c>
      <c r="Y9" s="3">
        <f ca="1">IFERROR(__xludf.DUMMYFUNCTION("""COMPUTED_VALUE"""),0.0151273148148148)</f>
        <v>1.51273148148148E-2</v>
      </c>
      <c r="Z9" s="1">
        <f ca="1">IFERROR(__xludf.DUMMYFUNCTION("""COMPUTED_VALUE"""),7)</f>
        <v>7</v>
      </c>
      <c r="AA9" s="1" t="str">
        <f ca="1">IFERROR(__xludf.DUMMYFUNCTION("""COMPUTED_VALUE"""),"Holly Heron")</f>
        <v>Holly Heron</v>
      </c>
      <c r="AB9" s="1" t="str">
        <f ca="1">IFERROR(__xludf.DUMMYFUNCTION("""COMPUTED_VALUE"""),"Loughview AC")</f>
        <v>Loughview AC</v>
      </c>
      <c r="AC9" s="3">
        <f ca="1">IFERROR(__xludf.DUMMYFUNCTION("""COMPUTED_VALUE"""),0.0045949074074074)</f>
        <v>4.5949074074074E-3</v>
      </c>
      <c r="AD9" s="1">
        <f ca="1">IFERROR(__xludf.DUMMYFUNCTION("""COMPUTED_VALUE"""),7)</f>
        <v>7</v>
      </c>
      <c r="AE9" s="1" t="str">
        <f ca="1">IFERROR(__xludf.DUMMYFUNCTION("""COMPUTED_VALUE"""),"Cormac Ratchford")</f>
        <v>Cormac Ratchford</v>
      </c>
      <c r="AF9" s="1" t="str">
        <f ca="1">IFERROR(__xludf.DUMMYFUNCTION("""COMPUTED_VALUE"""),"St Michael's Enniskillen")</f>
        <v>St Michael's Enniskillen</v>
      </c>
      <c r="AG9" s="3">
        <f ca="1">IFERROR(__xludf.DUMMYFUNCTION("""COMPUTED_VALUE"""),0.00422453703703703)</f>
        <v>4.2245370370370301E-3</v>
      </c>
      <c r="AH9" s="1">
        <f ca="1">IFERROR(__xludf.DUMMYFUNCTION("""COMPUTED_VALUE"""),7)</f>
        <v>7</v>
      </c>
      <c r="AI9" s="1" t="str">
        <f ca="1">IFERROR(__xludf.DUMMYFUNCTION("""COMPUTED_VALUE"""),"Stephen Lunn")</f>
        <v>Stephen Lunn</v>
      </c>
      <c r="AJ9" s="1" t="str">
        <f ca="1">IFERROR(__xludf.DUMMYFUNCTION("""COMPUTED_VALUE"""),"Queen's University")</f>
        <v>Queen's University</v>
      </c>
      <c r="AK9" s="3">
        <f ca="1">IFERROR(__xludf.DUMMYFUNCTION("""COMPUTED_VALUE"""),0.017349537037037)</f>
        <v>1.7349537037037E-2</v>
      </c>
      <c r="AL9" s="1">
        <f ca="1">IFERROR(__xludf.DUMMYFUNCTION("""COMPUTED_VALUE"""),7)</f>
        <v>7</v>
      </c>
      <c r="AM9" s="1" t="str">
        <f ca="1">IFERROR(__xludf.DUMMYFUNCTION("""COMPUTED_VALUE"""),"Orangegrove AC")</f>
        <v>Orangegrove AC</v>
      </c>
      <c r="AN9" s="1">
        <f ca="1">IFERROR(__xludf.DUMMYFUNCTION("""COMPUTED_VALUE"""),245)</f>
        <v>245</v>
      </c>
      <c r="AO9" s="1">
        <f ca="1">IFERROR(__xludf.DUMMYFUNCTION("""COMPUTED_VALUE"""),7)</f>
        <v>7</v>
      </c>
      <c r="AP9" s="1" t="str">
        <f ca="1">IFERROR(__xludf.DUMMYFUNCTION("""COMPUTED_VALUE"""),"Thea Cunningham")</f>
        <v>Thea Cunningham</v>
      </c>
      <c r="AQ9" s="1" t="str">
        <f ca="1">IFERROR(__xludf.DUMMYFUNCTION("""COMPUTED_VALUE"""),"City of Lisburn AC")</f>
        <v>City of Lisburn AC</v>
      </c>
      <c r="AR9" s="3">
        <f ca="1">IFERROR(__xludf.DUMMYFUNCTION("""COMPUTED_VALUE"""),0.00924768518518518)</f>
        <v>9.24768518518518E-3</v>
      </c>
      <c r="AS9" s="1">
        <f ca="1">IFERROR(__xludf.DUMMYFUNCTION("""COMPUTED_VALUE"""),7)</f>
        <v>7</v>
      </c>
      <c r="AT9" s="1" t="str">
        <f ca="1">IFERROR(__xludf.DUMMYFUNCTION("""COMPUTED_VALUE"""),"Jude McGann")</f>
        <v>Jude McGann</v>
      </c>
      <c r="AU9" s="1" t="str">
        <f ca="1">IFERROR(__xludf.DUMMYFUNCTION("""COMPUTED_VALUE"""),"Lagan Valley AC")</f>
        <v>Lagan Valley AC</v>
      </c>
      <c r="AV9" s="3">
        <f ca="1">IFERROR(__xludf.DUMMYFUNCTION("""COMPUTED_VALUE"""),0.00884259259259259)</f>
        <v>8.8425925925925894E-3</v>
      </c>
      <c r="AW9" s="1">
        <f ca="1">IFERROR(__xludf.DUMMYFUNCTION("""COMPUTED_VALUE"""),7)</f>
        <v>7</v>
      </c>
      <c r="AX9" s="1" t="str">
        <f ca="1">IFERROR(__xludf.DUMMYFUNCTION("""COMPUTED_VALUE"""),"Aoibheann O'Gorman")</f>
        <v>Aoibheann O'Gorman</v>
      </c>
      <c r="AY9" s="1" t="str">
        <f ca="1">IFERROR(__xludf.DUMMYFUNCTION("""COMPUTED_VALUE"""),"Newcastle &amp; District AC")</f>
        <v>Newcastle &amp; District AC</v>
      </c>
      <c r="AZ9" s="3">
        <f ca="1">IFERROR(__xludf.DUMMYFUNCTION("""COMPUTED_VALUE"""),0.0112731481481481)</f>
        <v>1.12731481481481E-2</v>
      </c>
      <c r="BA9" s="1">
        <f ca="1">IFERROR(__xludf.DUMMYFUNCTION("""COMPUTED_VALUE"""),7)</f>
        <v>7</v>
      </c>
      <c r="BB9" s="1" t="str">
        <f ca="1">IFERROR(__xludf.DUMMYFUNCTION("""COMPUTED_VALUE"""),"Cillian Sprice")</f>
        <v>Cillian Sprice</v>
      </c>
      <c r="BC9" s="1" t="str">
        <f ca="1">IFERROR(__xludf.DUMMYFUNCTION("""COMPUTED_VALUE"""),"St Michael's Enniskillen")</f>
        <v>St Michael's Enniskillen</v>
      </c>
      <c r="BD9" s="3">
        <f ca="1">IFERROR(__xludf.DUMMYFUNCTION("""COMPUTED_VALUE"""),0.0083912037037037)</f>
        <v>8.3912037037036993E-3</v>
      </c>
      <c r="BE9" s="1"/>
      <c r="BF9" s="1"/>
      <c r="BG9" s="1"/>
      <c r="BH9" s="1" t="str">
        <f ca="1">IFERROR(__xludf.DUMMYFUNCTION("""COMPUTED_VALUE"""),"F40")</f>
        <v>F40</v>
      </c>
      <c r="BI9" s="1"/>
      <c r="BJ9" s="1"/>
    </row>
    <row r="10" spans="1:62" x14ac:dyDescent="0.25">
      <c r="A10" s="1">
        <f ca="1">IFERROR(__xludf.DUMMYFUNCTION("""COMPUTED_VALUE"""),8)</f>
        <v>8</v>
      </c>
      <c r="B10" s="1" t="str">
        <f ca="1">IFERROR(__xludf.DUMMYFUNCTION("""COMPUTED_VALUE"""),"Neil Curran")</f>
        <v>Neil Curran</v>
      </c>
      <c r="C10" s="1" t="str">
        <f ca="1">IFERROR(__xludf.DUMMYFUNCTION("""COMPUTED_VALUE"""),"M45")</f>
        <v>M45</v>
      </c>
      <c r="D10" s="1" t="str">
        <f ca="1">IFERROR(__xludf.DUMMYFUNCTION("""COMPUTED_VALUE"""),"East Down AC")</f>
        <v>East Down AC</v>
      </c>
      <c r="E10" s="3">
        <f ca="1">IFERROR(__xludf.DUMMYFUNCTION("""COMPUTED_VALUE"""),0.0120023148148148)</f>
        <v>1.2002314814814801E-2</v>
      </c>
      <c r="F10" s="1">
        <f ca="1">IFERROR(__xludf.DUMMYFUNCTION("""COMPUTED_VALUE"""),8)</f>
        <v>8</v>
      </c>
      <c r="G10" s="1" t="str">
        <f ca="1">IFERROR(__xludf.DUMMYFUNCTION("""COMPUTED_VALUE"""),"Cormac Ratchford")</f>
        <v>Cormac Ratchford</v>
      </c>
      <c r="H10" s="1" t="str">
        <f ca="1">IFERROR(__xludf.DUMMYFUNCTION("""COMPUTED_VALUE"""),"U13B")</f>
        <v>U13B</v>
      </c>
      <c r="I10" s="1" t="str">
        <f ca="1">IFERROR(__xludf.DUMMYFUNCTION("""COMPUTED_VALUE"""),"St Michael's Enniskillen")</f>
        <v>St Michael's Enniskillen</v>
      </c>
      <c r="J10" s="3">
        <f ca="1">IFERROR(__xludf.DUMMYFUNCTION("""COMPUTED_VALUE"""),0.00422453703703703)</f>
        <v>4.2245370370370301E-3</v>
      </c>
      <c r="K10" s="1">
        <f ca="1">IFERROR(__xludf.DUMMYFUNCTION("""COMPUTED_VALUE"""),8)</f>
        <v>8</v>
      </c>
      <c r="L10" s="1" t="str">
        <f ca="1">IFERROR(__xludf.DUMMYFUNCTION("""COMPUTED_VALUE"""),"Helen Lavery")</f>
        <v>Helen Lavery</v>
      </c>
      <c r="M10" s="1" t="str">
        <f ca="1">IFERROR(__xludf.DUMMYFUNCTION("""COMPUTED_VALUE"""),"FO")</f>
        <v>FO</v>
      </c>
      <c r="N10" s="1" t="str">
        <f ca="1">IFERROR(__xludf.DUMMYFUNCTION("""COMPUTED_VALUE"""),"Beechmount Harriers")</f>
        <v>Beechmount Harriers</v>
      </c>
      <c r="O10" s="3">
        <f ca="1">IFERROR(__xludf.DUMMYFUNCTION("""COMPUTED_VALUE"""),0.0134837962962962)</f>
        <v>1.34837962962962E-2</v>
      </c>
      <c r="P10" s="1">
        <f ca="1">IFERROR(__xludf.DUMMYFUNCTION("""COMPUTED_VALUE"""),8)</f>
        <v>8</v>
      </c>
      <c r="Q10" s="1" t="str">
        <f ca="1">IFERROR(__xludf.DUMMYFUNCTION("""COMPUTED_VALUE"""),"Damiel Curran")</f>
        <v>Damiel Curran</v>
      </c>
      <c r="R10" s="1" t="str">
        <f ca="1">IFERROR(__xludf.DUMMYFUNCTION("""COMPUTED_VALUE"""),"U17B")</f>
        <v>U17B</v>
      </c>
      <c r="S10" s="1" t="str">
        <f ca="1">IFERROR(__xludf.DUMMYFUNCTION("""COMPUTED_VALUE"""),"St Michael's Enniskillen")</f>
        <v>St Michael's Enniskillen</v>
      </c>
      <c r="T10" s="3">
        <f ca="1">IFERROR(__xludf.DUMMYFUNCTION("""COMPUTED_VALUE"""),0.00811342592592592)</f>
        <v>8.1134259259259198E-3</v>
      </c>
      <c r="U10" s="1">
        <f ca="1">IFERROR(__xludf.DUMMYFUNCTION("""COMPUTED_VALUE"""),8)</f>
        <v>8</v>
      </c>
      <c r="V10" s="1" t="str">
        <f ca="1">IFERROR(__xludf.DUMMYFUNCTION("""COMPUTED_VALUE"""),"James Hamilton")</f>
        <v>James Hamilton</v>
      </c>
      <c r="W10" s="1" t="str">
        <f ca="1">IFERROR(__xludf.DUMMYFUNCTION("""COMPUTED_VALUE"""),"MO")</f>
        <v>MO</v>
      </c>
      <c r="X10" s="1" t="str">
        <f ca="1">IFERROR(__xludf.DUMMYFUNCTION("""COMPUTED_VALUE"""),"Ballymena Runners")</f>
        <v>Ballymena Runners</v>
      </c>
      <c r="Y10" s="3">
        <f ca="1">IFERROR(__xludf.DUMMYFUNCTION("""COMPUTED_VALUE"""),0.015162037037037)</f>
        <v>1.5162037037037E-2</v>
      </c>
      <c r="Z10" s="1">
        <f ca="1">IFERROR(__xludf.DUMMYFUNCTION("""COMPUTED_VALUE"""),8)</f>
        <v>8</v>
      </c>
      <c r="AA10" s="1" t="str">
        <f ca="1">IFERROR(__xludf.DUMMYFUNCTION("""COMPUTED_VALUE"""),"Jessica McCartan")</f>
        <v>Jessica McCartan</v>
      </c>
      <c r="AB10" s="1" t="str">
        <f ca="1">IFERROR(__xludf.DUMMYFUNCTION("""COMPUTED_VALUE"""),"Lagan Valley AC")</f>
        <v>Lagan Valley AC</v>
      </c>
      <c r="AC10" s="3">
        <f ca="1">IFERROR(__xludf.DUMMYFUNCTION("""COMPUTED_VALUE"""),0.00462962962962962)</f>
        <v>4.6296296296296198E-3</v>
      </c>
      <c r="AD10" s="1">
        <f ca="1">IFERROR(__xludf.DUMMYFUNCTION("""COMPUTED_VALUE"""),8)</f>
        <v>8</v>
      </c>
      <c r="AE10" s="1" t="str">
        <f ca="1">IFERROR(__xludf.DUMMYFUNCTION("""COMPUTED_VALUE"""),"Alex Downey")</f>
        <v>Alex Downey</v>
      </c>
      <c r="AF10" s="1" t="str">
        <f ca="1">IFERROR(__xludf.DUMMYFUNCTION("""COMPUTED_VALUE"""),"North Down AC")</f>
        <v>North Down AC</v>
      </c>
      <c r="AG10" s="3">
        <f ca="1">IFERROR(__xludf.DUMMYFUNCTION("""COMPUTED_VALUE"""),0.00429398148148148)</f>
        <v>4.2939814814814802E-3</v>
      </c>
      <c r="AH10" s="1">
        <f ca="1">IFERROR(__xludf.DUMMYFUNCTION("""COMPUTED_VALUE"""),8)</f>
        <v>8</v>
      </c>
      <c r="AI10" s="1" t="str">
        <f ca="1">IFERROR(__xludf.DUMMYFUNCTION("""COMPUTED_VALUE"""),"Jack Burns")</f>
        <v>Jack Burns</v>
      </c>
      <c r="AJ10" s="1" t="str">
        <f ca="1">IFERROR(__xludf.DUMMYFUNCTION("""COMPUTED_VALUE"""),"St Michael's Enniskillen")</f>
        <v>St Michael's Enniskillen</v>
      </c>
      <c r="AK10" s="3">
        <f ca="1">IFERROR(__xludf.DUMMYFUNCTION("""COMPUTED_VALUE"""),0.0178472222222222)</f>
        <v>1.7847222222222198E-2</v>
      </c>
      <c r="AL10" s="1">
        <f ca="1">IFERROR(__xludf.DUMMYFUNCTION("""COMPUTED_VALUE"""),8)</f>
        <v>8</v>
      </c>
      <c r="AM10" s="1" t="str">
        <f ca="1">IFERROR(__xludf.DUMMYFUNCTION("""COMPUTED_VALUE"""),"Mallusk Harriers")</f>
        <v>Mallusk Harriers</v>
      </c>
      <c r="AN10" s="1">
        <f ca="1">IFERROR(__xludf.DUMMYFUNCTION("""COMPUTED_VALUE"""),315)</f>
        <v>315</v>
      </c>
      <c r="AO10" s="1">
        <f ca="1">IFERROR(__xludf.DUMMYFUNCTION("""COMPUTED_VALUE"""),8)</f>
        <v>8</v>
      </c>
      <c r="AP10" s="1" t="str">
        <f ca="1">IFERROR(__xludf.DUMMYFUNCTION("""COMPUTED_VALUE"""),"Darcy Monaghan")</f>
        <v>Darcy Monaghan</v>
      </c>
      <c r="AQ10" s="1" t="str">
        <f ca="1">IFERROR(__xludf.DUMMYFUNCTION("""COMPUTED_VALUE"""),"Lagan Valley AC")</f>
        <v>Lagan Valley AC</v>
      </c>
      <c r="AR10" s="3">
        <f ca="1">IFERROR(__xludf.DUMMYFUNCTION("""COMPUTED_VALUE"""),0.00940972222222222)</f>
        <v>9.4097222222222204E-3</v>
      </c>
      <c r="AS10" s="1">
        <f ca="1">IFERROR(__xludf.DUMMYFUNCTION("""COMPUTED_VALUE"""),8)</f>
        <v>8</v>
      </c>
      <c r="AT10" s="1" t="str">
        <f ca="1">IFERROR(__xludf.DUMMYFUNCTION("""COMPUTED_VALUE"""),"Aaron Lennon")</f>
        <v>Aaron Lennon</v>
      </c>
      <c r="AU10" s="1" t="str">
        <f ca="1">IFERROR(__xludf.DUMMYFUNCTION("""COMPUTED_VALUE"""),"East Down AC")</f>
        <v>East Down AC</v>
      </c>
      <c r="AV10" s="3">
        <f ca="1">IFERROR(__xludf.DUMMYFUNCTION("""COMPUTED_VALUE"""),0.00886574074074074)</f>
        <v>8.86574074074074E-3</v>
      </c>
      <c r="AW10" s="1" t="str">
        <f ca="1">IFERROR(__xludf.DUMMYFUNCTION("""COMPUTED_VALUE""")," ")</f>
        <v xml:space="preserve"> </v>
      </c>
      <c r="AX10" s="1" t="str">
        <f ca="1">IFERROR(__xludf.DUMMYFUNCTION("""COMPUTED_VALUE""")," ")</f>
        <v xml:space="preserve"> </v>
      </c>
      <c r="AY10" s="1" t="str">
        <f ca="1">IFERROR(__xludf.DUMMYFUNCTION("""COMPUTED_VALUE""")," ")</f>
        <v xml:space="preserve"> </v>
      </c>
      <c r="AZ10" s="1" t="str">
        <f ca="1">IFERROR(__xludf.DUMMYFUNCTION("""COMPUTED_VALUE""")," ")</f>
        <v xml:space="preserve"> </v>
      </c>
      <c r="BA10" s="1">
        <f ca="1">IFERROR(__xludf.DUMMYFUNCTION("""COMPUTED_VALUE"""),8)</f>
        <v>8</v>
      </c>
      <c r="BB10" s="1" t="str">
        <f ca="1">IFERROR(__xludf.DUMMYFUNCTION("""COMPUTED_VALUE"""),"Jamie Morris")</f>
        <v>Jamie Morris</v>
      </c>
      <c r="BC10" s="1" t="str">
        <f ca="1">IFERROR(__xludf.DUMMYFUNCTION("""COMPUTED_VALUE"""),"Willowfield Harriers")</f>
        <v>Willowfield Harriers</v>
      </c>
      <c r="BD10" s="3">
        <f ca="1">IFERROR(__xludf.DUMMYFUNCTION("""COMPUTED_VALUE"""),0.00841435185185185)</f>
        <v>8.4143518518518499E-3</v>
      </c>
      <c r="BE10" s="1" t="str">
        <f ca="1">IFERROR(__xludf.DUMMYFUNCTION("""COMPUTED_VALUE"""),"M45")</f>
        <v>M45</v>
      </c>
      <c r="BF10" s="1"/>
      <c r="BG10" s="1"/>
      <c r="BH10" s="1">
        <f ca="1">IFERROR(__xludf.DUMMYFUNCTION("""COMPUTED_VALUE"""),1)</f>
        <v>1</v>
      </c>
      <c r="BI10" s="1" t="str">
        <f ca="1">IFERROR(__xludf.DUMMYFUNCTION("""COMPUTED_VALUE"""),"Paula Worthington")</f>
        <v>Paula Worthington</v>
      </c>
      <c r="BJ10" s="1" t="str">
        <f ca="1">IFERROR(__xludf.DUMMYFUNCTION("""COMPUTED_VALUE"""),"Ballymena Runners")</f>
        <v>Ballymena Runners</v>
      </c>
    </row>
    <row r="11" spans="1:62" x14ac:dyDescent="0.25">
      <c r="A11" s="1">
        <f ca="1">IFERROR(__xludf.DUMMYFUNCTION("""COMPUTED_VALUE"""),9)</f>
        <v>9</v>
      </c>
      <c r="B11" s="1" t="str">
        <f ca="1">IFERROR(__xludf.DUMMYFUNCTION("""COMPUTED_VALUE"""),"Aron Cole")</f>
        <v>Aron Cole</v>
      </c>
      <c r="C11" s="1" t="str">
        <f ca="1">IFERROR(__xludf.DUMMYFUNCTION("""COMPUTED_VALUE"""),"M45")</f>
        <v>M45</v>
      </c>
      <c r="D11" s="1" t="str">
        <f ca="1">IFERROR(__xludf.DUMMYFUNCTION("""COMPUTED_VALUE"""),"Foyle Valley AC")</f>
        <v>Foyle Valley AC</v>
      </c>
      <c r="E11" s="3">
        <f ca="1">IFERROR(__xludf.DUMMYFUNCTION("""COMPUTED_VALUE"""),0.0121180555555555)</f>
        <v>1.21180555555555E-2</v>
      </c>
      <c r="F11" s="1">
        <f ca="1">IFERROR(__xludf.DUMMYFUNCTION("""COMPUTED_VALUE"""),9)</f>
        <v>9</v>
      </c>
      <c r="G11" s="1" t="str">
        <f ca="1">IFERROR(__xludf.DUMMYFUNCTION("""COMPUTED_VALUE"""),"Katie Keown")</f>
        <v>Katie Keown</v>
      </c>
      <c r="H11" s="1" t="str">
        <f ca="1">IFERROR(__xludf.DUMMYFUNCTION("""COMPUTED_VALUE"""),"U13G")</f>
        <v>U13G</v>
      </c>
      <c r="I11" s="1" t="str">
        <f ca="1">IFERROR(__xludf.DUMMYFUNCTION("""COMPUTED_VALUE"""),"Lagan Valley AC")</f>
        <v>Lagan Valley AC</v>
      </c>
      <c r="J11" s="3">
        <f ca="1">IFERROR(__xludf.DUMMYFUNCTION("""COMPUTED_VALUE"""),0.00422453703703703)</f>
        <v>4.2245370370370301E-3</v>
      </c>
      <c r="K11" s="1">
        <f ca="1">IFERROR(__xludf.DUMMYFUNCTION("""COMPUTED_VALUE"""),9)</f>
        <v>9</v>
      </c>
      <c r="L11" s="1" t="str">
        <f ca="1">IFERROR(__xludf.DUMMYFUNCTION("""COMPUTED_VALUE"""),"Angeline McShane")</f>
        <v>Angeline McShane</v>
      </c>
      <c r="M11" s="1" t="str">
        <f ca="1">IFERROR(__xludf.DUMMYFUNCTION("""COMPUTED_VALUE"""),"FO")</f>
        <v>FO</v>
      </c>
      <c r="N11" s="1" t="str">
        <f ca="1">IFERROR(__xludf.DUMMYFUNCTION("""COMPUTED_VALUE"""),"City of Derry Spartans AC")</f>
        <v>City of Derry Spartans AC</v>
      </c>
      <c r="O11" s="3">
        <f ca="1">IFERROR(__xludf.DUMMYFUNCTION("""COMPUTED_VALUE"""),0.0135648148148148)</f>
        <v>1.35648148148148E-2</v>
      </c>
      <c r="P11" s="1">
        <f ca="1">IFERROR(__xludf.DUMMYFUNCTION("""COMPUTED_VALUE"""),9)</f>
        <v>9</v>
      </c>
      <c r="Q11" s="1" t="str">
        <f ca="1">IFERROR(__xludf.DUMMYFUNCTION("""COMPUTED_VALUE"""),"Cillian Sprice")</f>
        <v>Cillian Sprice</v>
      </c>
      <c r="R11" s="1" t="str">
        <f ca="1">IFERROR(__xludf.DUMMYFUNCTION("""COMPUTED_VALUE"""),"U17B")</f>
        <v>U17B</v>
      </c>
      <c r="S11" s="1" t="str">
        <f ca="1">IFERROR(__xludf.DUMMYFUNCTION("""COMPUTED_VALUE"""),"St Michael's Enniskillen")</f>
        <v>St Michael's Enniskillen</v>
      </c>
      <c r="T11" s="3">
        <f ca="1">IFERROR(__xludf.DUMMYFUNCTION("""COMPUTED_VALUE"""),0.0083912037037037)</f>
        <v>8.3912037037036993E-3</v>
      </c>
      <c r="U11" s="1">
        <f ca="1">IFERROR(__xludf.DUMMYFUNCTION("""COMPUTED_VALUE"""),9)</f>
        <v>9</v>
      </c>
      <c r="V11" s="1" t="str">
        <f ca="1">IFERROR(__xludf.DUMMYFUNCTION("""COMPUTED_VALUE"""),"Fionntan Campbell")</f>
        <v>Fionntan Campbell</v>
      </c>
      <c r="W11" s="1" t="str">
        <f ca="1">IFERROR(__xludf.DUMMYFUNCTION("""COMPUTED_VALUE"""),"MJ")</f>
        <v>MJ</v>
      </c>
      <c r="X11" s="1" t="str">
        <f ca="1">IFERROR(__xludf.DUMMYFUNCTION("""COMPUTED_VALUE"""),"North Belfast Harriers")</f>
        <v>North Belfast Harriers</v>
      </c>
      <c r="Y11" s="3">
        <f ca="1">IFERROR(__xludf.DUMMYFUNCTION("""COMPUTED_VALUE"""),0.0152662037037037)</f>
        <v>1.52662037037037E-2</v>
      </c>
      <c r="Z11" s="1">
        <f ca="1">IFERROR(__xludf.DUMMYFUNCTION("""COMPUTED_VALUE"""),9)</f>
        <v>9</v>
      </c>
      <c r="AA11" s="1" t="str">
        <f ca="1">IFERROR(__xludf.DUMMYFUNCTION("""COMPUTED_VALUE"""),"Ava Doran")</f>
        <v>Ava Doran</v>
      </c>
      <c r="AB11" s="1" t="str">
        <f ca="1">IFERROR(__xludf.DUMMYFUNCTION("""COMPUTED_VALUE"""),"Armagh AC")</f>
        <v>Armagh AC</v>
      </c>
      <c r="AC11" s="3">
        <f ca="1">IFERROR(__xludf.DUMMYFUNCTION("""COMPUTED_VALUE"""),0.00465277777777777)</f>
        <v>4.6527777777777696E-3</v>
      </c>
      <c r="AD11" s="1">
        <f ca="1">IFERROR(__xludf.DUMMYFUNCTION("""COMPUTED_VALUE"""),9)</f>
        <v>9</v>
      </c>
      <c r="AE11" s="1" t="str">
        <f ca="1">IFERROR(__xludf.DUMMYFUNCTION("""COMPUTED_VALUE"""),"Emmet Smith")</f>
        <v>Emmet Smith</v>
      </c>
      <c r="AF11" s="1" t="str">
        <f ca="1">IFERROR(__xludf.DUMMYFUNCTION("""COMPUTED_VALUE"""),"Ballymena and Antrim AC")</f>
        <v>Ballymena and Antrim AC</v>
      </c>
      <c r="AG11" s="3">
        <f ca="1">IFERROR(__xludf.DUMMYFUNCTION("""COMPUTED_VALUE"""),0.00430555555555555)</f>
        <v>4.3055555555555503E-3</v>
      </c>
      <c r="AH11" s="1">
        <f ca="1">IFERROR(__xludf.DUMMYFUNCTION("""COMPUTED_VALUE"""),9)</f>
        <v>9</v>
      </c>
      <c r="AI11" s="1" t="str">
        <f ca="1">IFERROR(__xludf.DUMMYFUNCTION("""COMPUTED_VALUE"""),"Peter Reed")</f>
        <v>Peter Reed</v>
      </c>
      <c r="AJ11" s="1" t="str">
        <f ca="1">IFERROR(__xludf.DUMMYFUNCTION("""COMPUTED_VALUE"""),"North Belfast Harriers")</f>
        <v>North Belfast Harriers</v>
      </c>
      <c r="AK11" s="3">
        <f ca="1">IFERROR(__xludf.DUMMYFUNCTION("""COMPUTED_VALUE"""),0.0178935185185185)</f>
        <v>1.78935185185185E-2</v>
      </c>
      <c r="AL11" s="1">
        <f ca="1">IFERROR(__xludf.DUMMYFUNCTION("""COMPUTED_VALUE"""),9)</f>
        <v>9</v>
      </c>
      <c r="AM11" s="1" t="str">
        <f ca="1">IFERROR(__xludf.DUMMYFUNCTION("""COMPUTED_VALUE"""),"Queen's University")</f>
        <v>Queen's University</v>
      </c>
      <c r="AN11" s="1">
        <f ca="1">IFERROR(__xludf.DUMMYFUNCTION("""COMPUTED_VALUE"""),320)</f>
        <v>320</v>
      </c>
      <c r="AO11" s="1">
        <f ca="1">IFERROR(__xludf.DUMMYFUNCTION("""COMPUTED_VALUE"""),9)</f>
        <v>9</v>
      </c>
      <c r="AP11" s="1" t="str">
        <f ca="1">IFERROR(__xludf.DUMMYFUNCTION("""COMPUTED_VALUE"""),"Carys Bell")</f>
        <v>Carys Bell</v>
      </c>
      <c r="AQ11" s="1" t="str">
        <f ca="1">IFERROR(__xludf.DUMMYFUNCTION("""COMPUTED_VALUE"""),"Lagan Valley AC")</f>
        <v>Lagan Valley AC</v>
      </c>
      <c r="AR11" s="3">
        <f ca="1">IFERROR(__xludf.DUMMYFUNCTION("""COMPUTED_VALUE"""),0.0101851851851851)</f>
        <v>1.0185185185185099E-2</v>
      </c>
      <c r="AS11" s="1">
        <f ca="1">IFERROR(__xludf.DUMMYFUNCTION("""COMPUTED_VALUE"""),9)</f>
        <v>9</v>
      </c>
      <c r="AT11" s="1" t="str">
        <f ca="1">IFERROR(__xludf.DUMMYFUNCTION("""COMPUTED_VALUE"""),"Conor Adair")</f>
        <v>Conor Adair</v>
      </c>
      <c r="AU11" s="1" t="str">
        <f ca="1">IFERROR(__xludf.DUMMYFUNCTION("""COMPUTED_VALUE"""),"North Down AC")</f>
        <v>North Down AC</v>
      </c>
      <c r="AV11" s="3">
        <f ca="1">IFERROR(__xludf.DUMMYFUNCTION("""COMPUTED_VALUE"""),0.00886574074074074)</f>
        <v>8.86574074074074E-3</v>
      </c>
      <c r="AW11" s="1" t="str">
        <f ca="1">IFERROR(__xludf.DUMMYFUNCTION("""COMPUTED_VALUE""")," ")</f>
        <v xml:space="preserve"> </v>
      </c>
      <c r="AX11" s="1" t="str">
        <f ca="1">IFERROR(__xludf.DUMMYFUNCTION("""COMPUTED_VALUE""")," ")</f>
        <v xml:space="preserve"> </v>
      </c>
      <c r="AY11" s="1" t="str">
        <f ca="1">IFERROR(__xludf.DUMMYFUNCTION("""COMPUTED_VALUE""")," ")</f>
        <v xml:space="preserve"> </v>
      </c>
      <c r="AZ11" s="1" t="str">
        <f ca="1">IFERROR(__xludf.DUMMYFUNCTION("""COMPUTED_VALUE""")," ")</f>
        <v xml:space="preserve"> </v>
      </c>
      <c r="BA11" s="1">
        <f ca="1">IFERROR(__xludf.DUMMYFUNCTION("""COMPUTED_VALUE"""),9)</f>
        <v>9</v>
      </c>
      <c r="BB11" s="1" t="str">
        <f ca="1">IFERROR(__xludf.DUMMYFUNCTION("""COMPUTED_VALUE"""),"James Kelly")</f>
        <v>James Kelly</v>
      </c>
      <c r="BC11" s="1" t="str">
        <f ca="1">IFERROR(__xludf.DUMMYFUNCTION("""COMPUTED_VALUE"""),"Beechmount Harriers")</f>
        <v>Beechmount Harriers</v>
      </c>
      <c r="BD11" s="3">
        <f ca="1">IFERROR(__xludf.DUMMYFUNCTION("""COMPUTED_VALUE"""),0.00841435185185185)</f>
        <v>8.4143518518518499E-3</v>
      </c>
      <c r="BE11" s="1">
        <f ca="1">IFERROR(__xludf.DUMMYFUNCTION("""COMPUTED_VALUE"""),1)</f>
        <v>1</v>
      </c>
      <c r="BF11" s="1" t="str">
        <f ca="1">IFERROR(__xludf.DUMMYFUNCTION("""COMPUTED_VALUE"""),"Paul Carroll")</f>
        <v>Paul Carroll</v>
      </c>
      <c r="BG11" s="1" t="str">
        <f ca="1">IFERROR(__xludf.DUMMYFUNCTION("""COMPUTED_VALUE"""),"Annadale Striders")</f>
        <v>Annadale Striders</v>
      </c>
      <c r="BH11" s="1">
        <f ca="1">IFERROR(__xludf.DUMMYFUNCTION("""COMPUTED_VALUE"""),2)</f>
        <v>2</v>
      </c>
      <c r="BI11" s="1" t="str">
        <f ca="1">IFERROR(__xludf.DUMMYFUNCTION("""COMPUTED_VALUE"""),"Catherine Diver")</f>
        <v>Catherine Diver</v>
      </c>
      <c r="BJ11" s="1" t="str">
        <f ca="1">IFERROR(__xludf.DUMMYFUNCTION("""COMPUTED_VALUE"""),"Beechmount Harriers")</f>
        <v>Beechmount Harriers</v>
      </c>
    </row>
    <row r="12" spans="1:62" x14ac:dyDescent="0.25">
      <c r="A12" s="1">
        <f ca="1">IFERROR(__xludf.DUMMYFUNCTION("""COMPUTED_VALUE"""),10)</f>
        <v>10</v>
      </c>
      <c r="B12" s="1" t="str">
        <f ca="1">IFERROR(__xludf.DUMMYFUNCTION("""COMPUTED_VALUE"""),"Tony Stanley")</f>
        <v>Tony Stanley</v>
      </c>
      <c r="C12" s="1" t="str">
        <f ca="1">IFERROR(__xludf.DUMMYFUNCTION("""COMPUTED_VALUE"""),"M45")</f>
        <v>M45</v>
      </c>
      <c r="D12" s="1" t="str">
        <f ca="1">IFERROR(__xludf.DUMMYFUNCTION("""COMPUTED_VALUE"""),"Beechmount Harriers")</f>
        <v>Beechmount Harriers</v>
      </c>
      <c r="E12" s="3">
        <f ca="1">IFERROR(__xludf.DUMMYFUNCTION("""COMPUTED_VALUE"""),0.0121759259259259)</f>
        <v>1.2175925925925901E-2</v>
      </c>
      <c r="F12" s="1">
        <f ca="1">IFERROR(__xludf.DUMMYFUNCTION("""COMPUTED_VALUE"""),10)</f>
        <v>10</v>
      </c>
      <c r="G12" s="1" t="str">
        <f ca="1">IFERROR(__xludf.DUMMYFUNCTION("""COMPUTED_VALUE"""),"Alex Downey")</f>
        <v>Alex Downey</v>
      </c>
      <c r="H12" s="1" t="str">
        <f ca="1">IFERROR(__xludf.DUMMYFUNCTION("""COMPUTED_VALUE"""),"U13B")</f>
        <v>U13B</v>
      </c>
      <c r="I12" s="1" t="str">
        <f ca="1">IFERROR(__xludf.DUMMYFUNCTION("""COMPUTED_VALUE"""),"North Down AC")</f>
        <v>North Down AC</v>
      </c>
      <c r="J12" s="3">
        <f ca="1">IFERROR(__xludf.DUMMYFUNCTION("""COMPUTED_VALUE"""),0.00429398148148148)</f>
        <v>4.2939814814814802E-3</v>
      </c>
      <c r="K12" s="1">
        <f ca="1">IFERROR(__xludf.DUMMYFUNCTION("""COMPUTED_VALUE"""),10)</f>
        <v>10</v>
      </c>
      <c r="L12" s="1" t="str">
        <f ca="1">IFERROR(__xludf.DUMMYFUNCTION("""COMPUTED_VALUE"""),"Fiona McQuillan")</f>
        <v>Fiona McQuillan</v>
      </c>
      <c r="M12" s="1" t="str">
        <f ca="1">IFERROR(__xludf.DUMMYFUNCTION("""COMPUTED_VALUE"""),"F35")</f>
        <v>F35</v>
      </c>
      <c r="N12" s="1" t="str">
        <f ca="1">IFERROR(__xludf.DUMMYFUNCTION("""COMPUTED_VALUE"""),"North Down AC")</f>
        <v>North Down AC</v>
      </c>
      <c r="O12" s="3">
        <f ca="1">IFERROR(__xludf.DUMMYFUNCTION("""COMPUTED_VALUE"""),0.0138078703703703)</f>
        <v>1.38078703703703E-2</v>
      </c>
      <c r="P12" s="1">
        <f ca="1">IFERROR(__xludf.DUMMYFUNCTION("""COMPUTED_VALUE"""),10)</f>
        <v>10</v>
      </c>
      <c r="Q12" s="1" t="str">
        <f ca="1">IFERROR(__xludf.DUMMYFUNCTION("""COMPUTED_VALUE"""),"Jamie Morris")</f>
        <v>Jamie Morris</v>
      </c>
      <c r="R12" s="1" t="str">
        <f ca="1">IFERROR(__xludf.DUMMYFUNCTION("""COMPUTED_VALUE"""),"U17B")</f>
        <v>U17B</v>
      </c>
      <c r="S12" s="1" t="str">
        <f ca="1">IFERROR(__xludf.DUMMYFUNCTION("""COMPUTED_VALUE"""),"Willowfield Harriers")</f>
        <v>Willowfield Harriers</v>
      </c>
      <c r="T12" s="3">
        <f ca="1">IFERROR(__xludf.DUMMYFUNCTION("""COMPUTED_VALUE"""),0.00841435185185185)</f>
        <v>8.4143518518518499E-3</v>
      </c>
      <c r="U12" s="1">
        <f ca="1">IFERROR(__xludf.DUMMYFUNCTION("""COMPUTED_VALUE"""),10)</f>
        <v>10</v>
      </c>
      <c r="V12" s="1" t="str">
        <f ca="1">IFERROR(__xludf.DUMMYFUNCTION("""COMPUTED_VALUE"""),"Jamie Coulter-Smyth")</f>
        <v>Jamie Coulter-Smyth</v>
      </c>
      <c r="W12" s="1" t="str">
        <f ca="1">IFERROR(__xludf.DUMMYFUNCTION("""COMPUTED_VALUE"""),"MO")</f>
        <v>MO</v>
      </c>
      <c r="X12" s="1" t="str">
        <f ca="1">IFERROR(__xludf.DUMMYFUNCTION("""COMPUTED_VALUE"""),"North Down AC")</f>
        <v>North Down AC</v>
      </c>
      <c r="Y12" s="3">
        <f ca="1">IFERROR(__xludf.DUMMYFUNCTION("""COMPUTED_VALUE"""),0.0154282407407407)</f>
        <v>1.5428240740740701E-2</v>
      </c>
      <c r="Z12" s="1">
        <f ca="1">IFERROR(__xludf.DUMMYFUNCTION("""COMPUTED_VALUE"""),10)</f>
        <v>10</v>
      </c>
      <c r="AA12" s="1" t="str">
        <f ca="1">IFERROR(__xludf.DUMMYFUNCTION("""COMPUTED_VALUE"""),"Erin Easton")</f>
        <v>Erin Easton</v>
      </c>
      <c r="AB12" s="1" t="str">
        <f ca="1">IFERROR(__xludf.DUMMYFUNCTION("""COMPUTED_VALUE"""),"Newcastle &amp; District AC")</f>
        <v>Newcastle &amp; District AC</v>
      </c>
      <c r="AC12" s="3">
        <f ca="1">IFERROR(__xludf.DUMMYFUNCTION("""COMPUTED_VALUE"""),0.00471064814814814)</f>
        <v>4.71064814814814E-3</v>
      </c>
      <c r="AD12" s="1">
        <f ca="1">IFERROR(__xludf.DUMMYFUNCTION("""COMPUTED_VALUE"""),10)</f>
        <v>10</v>
      </c>
      <c r="AE12" s="1" t="str">
        <f ca="1">IFERROR(__xludf.DUMMYFUNCTION("""COMPUTED_VALUE"""),"Uilleac Fitzpatrick")</f>
        <v>Uilleac Fitzpatrick</v>
      </c>
      <c r="AF12" s="1" t="str">
        <f ca="1">IFERROR(__xludf.DUMMYFUNCTION("""COMPUTED_VALUE"""),"Lagan Valley AC")</f>
        <v>Lagan Valley AC</v>
      </c>
      <c r="AG12" s="3">
        <f ca="1">IFERROR(__xludf.DUMMYFUNCTION("""COMPUTED_VALUE"""),0.0043287037037037)</f>
        <v>4.3287037037037001E-3</v>
      </c>
      <c r="AH12" s="1">
        <f ca="1">IFERROR(__xludf.DUMMYFUNCTION("""COMPUTED_VALUE"""),10)</f>
        <v>10</v>
      </c>
      <c r="AI12" s="1" t="str">
        <f ca="1">IFERROR(__xludf.DUMMYFUNCTION("""COMPUTED_VALUE"""),"Dan McCurdy")</f>
        <v>Dan McCurdy</v>
      </c>
      <c r="AJ12" s="1" t="str">
        <f ca="1">IFERROR(__xludf.DUMMYFUNCTION("""COMPUTED_VALUE"""),"Lagan Valley AC")</f>
        <v>Lagan Valley AC</v>
      </c>
      <c r="AK12" s="3">
        <f ca="1">IFERROR(__xludf.DUMMYFUNCTION("""COMPUTED_VALUE"""),0.0181481481481481)</f>
        <v>1.8148148148148101E-2</v>
      </c>
      <c r="AL12" s="1" t="str">
        <f ca="1">IFERROR(__xludf.DUMMYFUNCTION("""COMPUTED_VALUE""")," ")</f>
        <v xml:space="preserve"> </v>
      </c>
      <c r="AM12" s="1" t="str">
        <f ca="1">IFERROR(__xludf.DUMMYFUNCTION("""COMPUTED_VALUE""")," ")</f>
        <v xml:space="preserve"> </v>
      </c>
      <c r="AN12" s="1" t="str">
        <f ca="1">IFERROR(__xludf.DUMMYFUNCTION("""COMPUTED_VALUE""")," ")</f>
        <v xml:space="preserve"> </v>
      </c>
      <c r="AO12" s="1">
        <f ca="1">IFERROR(__xludf.DUMMYFUNCTION("""COMPUTED_VALUE"""),10)</f>
        <v>10</v>
      </c>
      <c r="AP12" s="1" t="str">
        <f ca="1">IFERROR(__xludf.DUMMYFUNCTION("""COMPUTED_VALUE"""),"Charlotte Evans")</f>
        <v>Charlotte Evans</v>
      </c>
      <c r="AQ12" s="1" t="str">
        <f ca="1">IFERROR(__xludf.DUMMYFUNCTION("""COMPUTED_VALUE"""),"Dromore AC")</f>
        <v>Dromore AC</v>
      </c>
      <c r="AR12" s="3">
        <f ca="1">IFERROR(__xludf.DUMMYFUNCTION("""COMPUTED_VALUE"""),0.0102430555555555)</f>
        <v>1.02430555555555E-2</v>
      </c>
      <c r="AS12" s="1">
        <f ca="1">IFERROR(__xludf.DUMMYFUNCTION("""COMPUTED_VALUE"""),10)</f>
        <v>10</v>
      </c>
      <c r="AT12" s="1" t="str">
        <f ca="1">IFERROR(__xludf.DUMMYFUNCTION("""COMPUTED_VALUE"""),"Leo McAleer")</f>
        <v>Leo McAleer</v>
      </c>
      <c r="AU12" s="1" t="str">
        <f ca="1">IFERROR(__xludf.DUMMYFUNCTION("""COMPUTED_VALUE"""),"Ballymena &amp; Antrim AC")</f>
        <v>Ballymena &amp; Antrim AC</v>
      </c>
      <c r="AV12" s="3">
        <f ca="1">IFERROR(__xludf.DUMMYFUNCTION("""COMPUTED_VALUE"""),0.00891203703703703)</f>
        <v>8.9120370370370308E-3</v>
      </c>
      <c r="AW12" s="1" t="str">
        <f ca="1">IFERROR(__xludf.DUMMYFUNCTION("""COMPUTED_VALUE""")," ")</f>
        <v xml:space="preserve"> </v>
      </c>
      <c r="AX12" s="1" t="str">
        <f ca="1">IFERROR(__xludf.DUMMYFUNCTION("""COMPUTED_VALUE""")," ")</f>
        <v xml:space="preserve"> </v>
      </c>
      <c r="AY12" s="1" t="str">
        <f ca="1">IFERROR(__xludf.DUMMYFUNCTION("""COMPUTED_VALUE""")," ")</f>
        <v xml:space="preserve"> </v>
      </c>
      <c r="AZ12" s="1" t="str">
        <f ca="1">IFERROR(__xludf.DUMMYFUNCTION("""COMPUTED_VALUE""")," ")</f>
        <v xml:space="preserve"> </v>
      </c>
      <c r="BA12" s="1">
        <f ca="1">IFERROR(__xludf.DUMMYFUNCTION("""COMPUTED_VALUE"""),10)</f>
        <v>10</v>
      </c>
      <c r="BB12" s="1" t="str">
        <f ca="1">IFERROR(__xludf.DUMMYFUNCTION("""COMPUTED_VALUE"""),"Matthew Murphy")</f>
        <v>Matthew Murphy</v>
      </c>
      <c r="BC12" s="1" t="str">
        <f ca="1">IFERROR(__xludf.DUMMYFUNCTION("""COMPUTED_VALUE"""),"Lagan Valley AC")</f>
        <v>Lagan Valley AC</v>
      </c>
      <c r="BD12" s="3">
        <f ca="1">IFERROR(__xludf.DUMMYFUNCTION("""COMPUTED_VALUE"""),0.0084375)</f>
        <v>8.4375000000000006E-3</v>
      </c>
      <c r="BE12" s="1">
        <f ca="1">IFERROR(__xludf.DUMMYFUNCTION("""COMPUTED_VALUE"""),2)</f>
        <v>2</v>
      </c>
      <c r="BF12" s="1" t="str">
        <f ca="1">IFERROR(__xludf.DUMMYFUNCTION("""COMPUTED_VALUE"""),"Neil Curran")</f>
        <v>Neil Curran</v>
      </c>
      <c r="BG12" s="1" t="str">
        <f ca="1">IFERROR(__xludf.DUMMYFUNCTION("""COMPUTED_VALUE"""),"East Down AC")</f>
        <v>East Down AC</v>
      </c>
      <c r="BH12" s="1"/>
      <c r="BI12" s="1"/>
      <c r="BJ12" s="1"/>
    </row>
    <row r="13" spans="1:62" x14ac:dyDescent="0.25">
      <c r="A13" s="1">
        <f ca="1">IFERROR(__xludf.DUMMYFUNCTION("""COMPUTED_VALUE"""),11)</f>
        <v>11</v>
      </c>
      <c r="B13" s="1" t="str">
        <f ca="1">IFERROR(__xludf.DUMMYFUNCTION("""COMPUTED_VALUE"""),"Oliver Cook")</f>
        <v>Oliver Cook</v>
      </c>
      <c r="C13" s="1" t="str">
        <f ca="1">IFERROR(__xludf.DUMMYFUNCTION("""COMPUTED_VALUE"""),"M35")</f>
        <v>M35</v>
      </c>
      <c r="D13" s="1" t="str">
        <f ca="1">IFERROR(__xludf.DUMMYFUNCTION("""COMPUTED_VALUE"""),"PACE Running Club")</f>
        <v>PACE Running Club</v>
      </c>
      <c r="E13" s="3">
        <f ca="1">IFERROR(__xludf.DUMMYFUNCTION("""COMPUTED_VALUE"""),0.0122106481481481)</f>
        <v>1.2210648148148101E-2</v>
      </c>
      <c r="F13" s="1">
        <f ca="1">IFERROR(__xludf.DUMMYFUNCTION("""COMPUTED_VALUE"""),11)</f>
        <v>11</v>
      </c>
      <c r="G13" s="1" t="str">
        <f ca="1">IFERROR(__xludf.DUMMYFUNCTION("""COMPUTED_VALUE"""),"Emmet Smith")</f>
        <v>Emmet Smith</v>
      </c>
      <c r="H13" s="1" t="str">
        <f ca="1">IFERROR(__xludf.DUMMYFUNCTION("""COMPUTED_VALUE"""),"U13B")</f>
        <v>U13B</v>
      </c>
      <c r="I13" s="1" t="str">
        <f ca="1">IFERROR(__xludf.DUMMYFUNCTION("""COMPUTED_VALUE"""),"Ballymena and Antrim AC")</f>
        <v>Ballymena and Antrim AC</v>
      </c>
      <c r="J13" s="3">
        <f ca="1">IFERROR(__xludf.DUMMYFUNCTION("""COMPUTED_VALUE"""),0.00430555555555555)</f>
        <v>4.3055555555555503E-3</v>
      </c>
      <c r="K13" s="1">
        <f ca="1">IFERROR(__xludf.DUMMYFUNCTION("""COMPUTED_VALUE"""),11)</f>
        <v>11</v>
      </c>
      <c r="L13" s="1" t="str">
        <f ca="1">IFERROR(__xludf.DUMMYFUNCTION("""COMPUTED_VALUE"""),"Kathryn Rafferty")</f>
        <v>Kathryn Rafferty</v>
      </c>
      <c r="M13" s="1" t="str">
        <f ca="1">IFERROR(__xludf.DUMMYFUNCTION("""COMPUTED_VALUE"""),"F35")</f>
        <v>F35</v>
      </c>
      <c r="N13" s="1" t="str">
        <f ca="1">IFERROR(__xludf.DUMMYFUNCTION("""COMPUTED_VALUE"""),"Armagh AC")</f>
        <v>Armagh AC</v>
      </c>
      <c r="O13" s="3">
        <f ca="1">IFERROR(__xludf.DUMMYFUNCTION("""COMPUTED_VALUE"""),0.0139236111111111)</f>
        <v>1.39236111111111E-2</v>
      </c>
      <c r="P13" s="1">
        <f ca="1">IFERROR(__xludf.DUMMYFUNCTION("""COMPUTED_VALUE"""),11)</f>
        <v>11</v>
      </c>
      <c r="Q13" s="1" t="str">
        <f ca="1">IFERROR(__xludf.DUMMYFUNCTION("""COMPUTED_VALUE"""),"James Kelly")</f>
        <v>James Kelly</v>
      </c>
      <c r="R13" s="1" t="str">
        <f ca="1">IFERROR(__xludf.DUMMYFUNCTION("""COMPUTED_VALUE"""),"U17B")</f>
        <v>U17B</v>
      </c>
      <c r="S13" s="1" t="str">
        <f ca="1">IFERROR(__xludf.DUMMYFUNCTION("""COMPUTED_VALUE"""),"Beechmount Harriers")</f>
        <v>Beechmount Harriers</v>
      </c>
      <c r="T13" s="3">
        <f ca="1">IFERROR(__xludf.DUMMYFUNCTION("""COMPUTED_VALUE"""),0.00841435185185185)</f>
        <v>8.4143518518518499E-3</v>
      </c>
      <c r="U13" s="1">
        <f ca="1">IFERROR(__xludf.DUMMYFUNCTION("""COMPUTED_VALUE"""),11)</f>
        <v>11</v>
      </c>
      <c r="V13" s="1" t="str">
        <f ca="1">IFERROR(__xludf.DUMMYFUNCTION("""COMPUTED_VALUE"""),"Lawrence O'Hara")</f>
        <v>Lawrence O'Hara</v>
      </c>
      <c r="W13" s="1" t="str">
        <f ca="1">IFERROR(__xludf.DUMMYFUNCTION("""COMPUTED_VALUE"""),"M40")</f>
        <v>M40</v>
      </c>
      <c r="X13" s="1" t="str">
        <f ca="1">IFERROR(__xludf.DUMMYFUNCTION("""COMPUTED_VALUE"""),"North Belfast Harriers")</f>
        <v>North Belfast Harriers</v>
      </c>
      <c r="Y13" s="3">
        <f ca="1">IFERROR(__xludf.DUMMYFUNCTION("""COMPUTED_VALUE"""),0.0155092592592592)</f>
        <v>1.55092592592592E-2</v>
      </c>
      <c r="Z13" s="1">
        <f ca="1">IFERROR(__xludf.DUMMYFUNCTION("""COMPUTED_VALUE"""),11)</f>
        <v>11</v>
      </c>
      <c r="AA13" s="1" t="str">
        <f ca="1">IFERROR(__xludf.DUMMYFUNCTION("""COMPUTED_VALUE"""),"Emma Flynn")</f>
        <v>Emma Flynn</v>
      </c>
      <c r="AB13" s="1" t="str">
        <f ca="1">IFERROR(__xludf.DUMMYFUNCTION("""COMPUTED_VALUE"""),"Beechmount Harriers")</f>
        <v>Beechmount Harriers</v>
      </c>
      <c r="AC13" s="3">
        <f ca="1">IFERROR(__xludf.DUMMYFUNCTION("""COMPUTED_VALUE"""),0.00474537037037037)</f>
        <v>4.7453703703703703E-3</v>
      </c>
      <c r="AD13" s="1">
        <f ca="1">IFERROR(__xludf.DUMMYFUNCTION("""COMPUTED_VALUE"""),11)</f>
        <v>11</v>
      </c>
      <c r="AE13" s="1" t="str">
        <f ca="1">IFERROR(__xludf.DUMMYFUNCTION("""COMPUTED_VALUE"""),"Deivs Tarvids")</f>
        <v>Deivs Tarvids</v>
      </c>
      <c r="AF13" s="1" t="str">
        <f ca="1">IFERROR(__xludf.DUMMYFUNCTION("""COMPUTED_VALUE"""),"St Michael's Enniskillen")</f>
        <v>St Michael's Enniskillen</v>
      </c>
      <c r="AG13" s="3">
        <f ca="1">IFERROR(__xludf.DUMMYFUNCTION("""COMPUTED_VALUE"""),0.0043287037037037)</f>
        <v>4.3287037037037001E-3</v>
      </c>
      <c r="AH13" s="1">
        <f ca="1">IFERROR(__xludf.DUMMYFUNCTION("""COMPUTED_VALUE"""),11)</f>
        <v>11</v>
      </c>
      <c r="AI13" s="1" t="str">
        <f ca="1">IFERROR(__xludf.DUMMYFUNCTION("""COMPUTED_VALUE"""),"Nathan Lilly")</f>
        <v>Nathan Lilly</v>
      </c>
      <c r="AJ13" s="1" t="str">
        <f ca="1">IFERROR(__xludf.DUMMYFUNCTION("""COMPUTED_VALUE"""),"Ballydrain Harriers")</f>
        <v>Ballydrain Harriers</v>
      </c>
      <c r="AK13" s="3">
        <f ca="1">IFERROR(__xludf.DUMMYFUNCTION("""COMPUTED_VALUE"""),0.0195254629629629)</f>
        <v>1.9525462962962901E-2</v>
      </c>
      <c r="AL13" s="1" t="str">
        <f ca="1">IFERROR(__xludf.DUMMYFUNCTION("""COMPUTED_VALUE""")," ")</f>
        <v xml:space="preserve"> </v>
      </c>
      <c r="AM13" s="1" t="str">
        <f ca="1">IFERROR(__xludf.DUMMYFUNCTION("""COMPUTED_VALUE""")," ")</f>
        <v xml:space="preserve"> </v>
      </c>
      <c r="AN13" s="1" t="str">
        <f ca="1">IFERROR(__xludf.DUMMYFUNCTION("""COMPUTED_VALUE""")," ")</f>
        <v xml:space="preserve"> </v>
      </c>
      <c r="AO13" s="1">
        <f ca="1">IFERROR(__xludf.DUMMYFUNCTION("""COMPUTED_VALUE"""),11)</f>
        <v>11</v>
      </c>
      <c r="AP13" s="1" t="str">
        <f ca="1">IFERROR(__xludf.DUMMYFUNCTION("""COMPUTED_VALUE"""),"Treasa McConnell")</f>
        <v>Treasa McConnell</v>
      </c>
      <c r="AQ13" s="1" t="str">
        <f ca="1">IFERROR(__xludf.DUMMYFUNCTION("""COMPUTED_VALUE"""),"North Belfast Harriers")</f>
        <v>North Belfast Harriers</v>
      </c>
      <c r="AR13" s="3">
        <f ca="1">IFERROR(__xludf.DUMMYFUNCTION("""COMPUTED_VALUE"""),0.0104050925925925)</f>
        <v>1.0405092592592501E-2</v>
      </c>
      <c r="AS13" s="1">
        <f ca="1">IFERROR(__xludf.DUMMYFUNCTION("""COMPUTED_VALUE"""),11)</f>
        <v>11</v>
      </c>
      <c r="AT13" s="1" t="str">
        <f ca="1">IFERROR(__xludf.DUMMYFUNCTION("""COMPUTED_VALUE"""),"Maxwell Murphy")</f>
        <v>Maxwell Murphy</v>
      </c>
      <c r="AU13" s="1" t="str">
        <f ca="1">IFERROR(__xludf.DUMMYFUNCTION("""COMPUTED_VALUE"""),"St Michael's Enniskillen")</f>
        <v>St Michael's Enniskillen</v>
      </c>
      <c r="AV13" s="3">
        <f ca="1">IFERROR(__xludf.DUMMYFUNCTION("""COMPUTED_VALUE"""),0.0090625)</f>
        <v>9.0624999999999994E-3</v>
      </c>
      <c r="AW13" s="1" t="str">
        <f ca="1">IFERROR(__xludf.DUMMYFUNCTION("""COMPUTED_VALUE""")," ")</f>
        <v xml:space="preserve"> </v>
      </c>
      <c r="AX13" s="1" t="str">
        <f ca="1">IFERROR(__xludf.DUMMYFUNCTION("""COMPUTED_VALUE""")," ")</f>
        <v xml:space="preserve"> </v>
      </c>
      <c r="AY13" s="1" t="str">
        <f ca="1">IFERROR(__xludf.DUMMYFUNCTION("""COMPUTED_VALUE""")," ")</f>
        <v xml:space="preserve"> </v>
      </c>
      <c r="AZ13" s="1" t="str">
        <f ca="1">IFERROR(__xludf.DUMMYFUNCTION("""COMPUTED_VALUE""")," ")</f>
        <v xml:space="preserve"> </v>
      </c>
      <c r="BA13" s="1">
        <f ca="1">IFERROR(__xludf.DUMMYFUNCTION("""COMPUTED_VALUE"""),11)</f>
        <v>11</v>
      </c>
      <c r="BB13" s="1" t="str">
        <f ca="1">IFERROR(__xludf.DUMMYFUNCTION("""COMPUTED_VALUE"""),"Daniel Doherty")</f>
        <v>Daniel Doherty</v>
      </c>
      <c r="BC13" s="1" t="str">
        <f ca="1">IFERROR(__xludf.DUMMYFUNCTION("""COMPUTED_VALUE"""),"Lagan Valley AC")</f>
        <v>Lagan Valley AC</v>
      </c>
      <c r="BD13" s="3">
        <f ca="1">IFERROR(__xludf.DUMMYFUNCTION("""COMPUTED_VALUE"""),0.00850694444444444)</f>
        <v>8.5069444444444402E-3</v>
      </c>
      <c r="BE13" s="1"/>
      <c r="BF13" s="1"/>
      <c r="BG13" s="1"/>
      <c r="BH13" s="1" t="str">
        <f ca="1">IFERROR(__xludf.DUMMYFUNCTION("""COMPUTED_VALUE"""),"F45")</f>
        <v>F45</v>
      </c>
      <c r="BI13" s="1"/>
      <c r="BJ13" s="1"/>
    </row>
    <row r="14" spans="1:62" x14ac:dyDescent="0.25">
      <c r="A14" s="1">
        <f ca="1">IFERROR(__xludf.DUMMYFUNCTION("""COMPUTED_VALUE"""),12)</f>
        <v>12</v>
      </c>
      <c r="B14" s="1" t="str">
        <f ca="1">IFERROR(__xludf.DUMMYFUNCTION("""COMPUTED_VALUE"""),"Niall O'Gorman")</f>
        <v>Niall O'Gorman</v>
      </c>
      <c r="C14" s="1" t="str">
        <f ca="1">IFERROR(__xludf.DUMMYFUNCTION("""COMPUTED_VALUE"""),"M50")</f>
        <v>M50</v>
      </c>
      <c r="D14" s="1" t="str">
        <f ca="1">IFERROR(__xludf.DUMMYFUNCTION("""COMPUTED_VALUE"""),"Annadale Striders")</f>
        <v>Annadale Striders</v>
      </c>
      <c r="E14" s="3">
        <f ca="1">IFERROR(__xludf.DUMMYFUNCTION("""COMPUTED_VALUE"""),0.0123263888888888)</f>
        <v>1.23263888888888E-2</v>
      </c>
      <c r="F14" s="1">
        <f ca="1">IFERROR(__xludf.DUMMYFUNCTION("""COMPUTED_VALUE"""),12)</f>
        <v>12</v>
      </c>
      <c r="G14" s="1" t="str">
        <f ca="1">IFERROR(__xludf.DUMMYFUNCTION("""COMPUTED_VALUE"""),"Lucia Steen")</f>
        <v>Lucia Steen</v>
      </c>
      <c r="H14" s="1" t="str">
        <f ca="1">IFERROR(__xludf.DUMMYFUNCTION("""COMPUTED_VALUE"""),"U13G")</f>
        <v>U13G</v>
      </c>
      <c r="I14" s="1" t="str">
        <f ca="1">IFERROR(__xludf.DUMMYFUNCTION("""COMPUTED_VALUE"""),"City of Lisburn Athletics Club")</f>
        <v>City of Lisburn Athletics Club</v>
      </c>
      <c r="J14" s="3">
        <f ca="1">IFERROR(__xludf.DUMMYFUNCTION("""COMPUTED_VALUE"""),0.00431712962962963)</f>
        <v>4.31712962962963E-3</v>
      </c>
      <c r="K14" s="1">
        <f ca="1">IFERROR(__xludf.DUMMYFUNCTION("""COMPUTED_VALUE"""),12)</f>
        <v>12</v>
      </c>
      <c r="L14" s="1" t="str">
        <f ca="1">IFERROR(__xludf.DUMMYFUNCTION("""COMPUTED_VALUE"""),"Paula Worthington")</f>
        <v>Paula Worthington</v>
      </c>
      <c r="M14" s="1" t="str">
        <f ca="1">IFERROR(__xludf.DUMMYFUNCTION("""COMPUTED_VALUE"""),"F40")</f>
        <v>F40</v>
      </c>
      <c r="N14" s="1" t="str">
        <f ca="1">IFERROR(__xludf.DUMMYFUNCTION("""COMPUTED_VALUE"""),"Ballymena Runners")</f>
        <v>Ballymena Runners</v>
      </c>
      <c r="O14" s="3">
        <f ca="1">IFERROR(__xludf.DUMMYFUNCTION("""COMPUTED_VALUE"""),0.0139930555555555)</f>
        <v>1.39930555555555E-2</v>
      </c>
      <c r="P14" s="1">
        <f ca="1">IFERROR(__xludf.DUMMYFUNCTION("""COMPUTED_VALUE"""),12)</f>
        <v>12</v>
      </c>
      <c r="Q14" s="1" t="str">
        <f ca="1">IFERROR(__xludf.DUMMYFUNCTION("""COMPUTED_VALUE"""),"Matthew Murphy")</f>
        <v>Matthew Murphy</v>
      </c>
      <c r="R14" s="1" t="str">
        <f ca="1">IFERROR(__xludf.DUMMYFUNCTION("""COMPUTED_VALUE"""),"U17B")</f>
        <v>U17B</v>
      </c>
      <c r="S14" s="1" t="str">
        <f ca="1">IFERROR(__xludf.DUMMYFUNCTION("""COMPUTED_VALUE"""),"Lagan Valley AC")</f>
        <v>Lagan Valley AC</v>
      </c>
      <c r="T14" s="3">
        <f ca="1">IFERROR(__xludf.DUMMYFUNCTION("""COMPUTED_VALUE"""),0.0084375)</f>
        <v>8.4375000000000006E-3</v>
      </c>
      <c r="U14" s="1">
        <f ca="1">IFERROR(__xludf.DUMMYFUNCTION("""COMPUTED_VALUE"""),12)</f>
        <v>12</v>
      </c>
      <c r="V14" s="1" t="str">
        <f ca="1">IFERROR(__xludf.DUMMYFUNCTION("""COMPUTED_VALUE"""),"Cameron Stewart")</f>
        <v>Cameron Stewart</v>
      </c>
      <c r="W14" s="1" t="str">
        <f ca="1">IFERROR(__xludf.DUMMYFUNCTION("""COMPUTED_VALUE"""),"MO")</f>
        <v>MO</v>
      </c>
      <c r="X14" s="1" t="str">
        <f ca="1">IFERROR(__xludf.DUMMYFUNCTION("""COMPUTED_VALUE"""),"Annadale Striders")</f>
        <v>Annadale Striders</v>
      </c>
      <c r="Y14" s="3">
        <f ca="1">IFERROR(__xludf.DUMMYFUNCTION("""COMPUTED_VALUE"""),0.0155439814814814)</f>
        <v>1.55439814814814E-2</v>
      </c>
      <c r="Z14" s="1">
        <f ca="1">IFERROR(__xludf.DUMMYFUNCTION("""COMPUTED_VALUE"""),12)</f>
        <v>12</v>
      </c>
      <c r="AA14" s="1" t="str">
        <f ca="1">IFERROR(__xludf.DUMMYFUNCTION("""COMPUTED_VALUE"""),"Beth Heron")</f>
        <v>Beth Heron</v>
      </c>
      <c r="AB14" s="1" t="str">
        <f ca="1">IFERROR(__xludf.DUMMYFUNCTION("""COMPUTED_VALUE"""),"Loughview AC")</f>
        <v>Loughview AC</v>
      </c>
      <c r="AC14" s="3">
        <f ca="1">IFERROR(__xludf.DUMMYFUNCTION("""COMPUTED_VALUE"""),0.00474537037037037)</f>
        <v>4.7453703703703703E-3</v>
      </c>
      <c r="AD14" s="1">
        <f ca="1">IFERROR(__xludf.DUMMYFUNCTION("""COMPUTED_VALUE"""),12)</f>
        <v>12</v>
      </c>
      <c r="AE14" s="1" t="str">
        <f ca="1">IFERROR(__xludf.DUMMYFUNCTION("""COMPUTED_VALUE"""),"Diarmuid Rasdale")</f>
        <v>Diarmuid Rasdale</v>
      </c>
      <c r="AF14" s="1" t="str">
        <f ca="1">IFERROR(__xludf.DUMMYFUNCTION("""COMPUTED_VALUE"""),"St Michael's Enniskillen")</f>
        <v>St Michael's Enniskillen</v>
      </c>
      <c r="AG14" s="3">
        <f ca="1">IFERROR(__xludf.DUMMYFUNCTION("""COMPUTED_VALUE"""),0.00435185185185185)</f>
        <v>4.3518518518518498E-3</v>
      </c>
      <c r="AH14" s="1">
        <f ca="1">IFERROR(__xludf.DUMMYFUNCTION("""COMPUTED_VALUE"""),12)</f>
        <v>12</v>
      </c>
      <c r="AI14" s="1" t="str">
        <f ca="1">IFERROR(__xludf.DUMMYFUNCTION("""COMPUTED_VALUE"""),"Aaron Ansfield")</f>
        <v>Aaron Ansfield</v>
      </c>
      <c r="AJ14" s="1" t="str">
        <f ca="1">IFERROR(__xludf.DUMMYFUNCTION("""COMPUTED_VALUE"""),"St Michael's Enniskillen")</f>
        <v>St Michael's Enniskillen</v>
      </c>
      <c r="AK14" s="3">
        <f ca="1">IFERROR(__xludf.DUMMYFUNCTION("""COMPUTED_VALUE"""),0.0197800925925925)</f>
        <v>1.9780092592592498E-2</v>
      </c>
      <c r="AL14" s="1" t="str">
        <f ca="1">IFERROR(__xludf.DUMMYFUNCTION("""COMPUTED_VALUE""")," ")</f>
        <v xml:space="preserve"> </v>
      </c>
      <c r="AM14" s="1" t="str">
        <f ca="1">IFERROR(__xludf.DUMMYFUNCTION("""COMPUTED_VALUE""")," ")</f>
        <v xml:space="preserve"> </v>
      </c>
      <c r="AN14" s="1" t="str">
        <f ca="1">IFERROR(__xludf.DUMMYFUNCTION("""COMPUTED_VALUE""")," ")</f>
        <v xml:space="preserve"> </v>
      </c>
      <c r="AO14" s="1">
        <f ca="1">IFERROR(__xludf.DUMMYFUNCTION("""COMPUTED_VALUE"""),12)</f>
        <v>12</v>
      </c>
      <c r="AP14" s="1" t="str">
        <f ca="1">IFERROR(__xludf.DUMMYFUNCTION("""COMPUTED_VALUE"""),"Amy McCartan")</f>
        <v>Amy McCartan</v>
      </c>
      <c r="AQ14" s="1" t="str">
        <f ca="1">IFERROR(__xludf.DUMMYFUNCTION("""COMPUTED_VALUE"""),"Dromore AC")</f>
        <v>Dromore AC</v>
      </c>
      <c r="AR14" s="3">
        <f ca="1">IFERROR(__xludf.DUMMYFUNCTION("""COMPUTED_VALUE"""),0.0105671296296296)</f>
        <v>1.05671296296296E-2</v>
      </c>
      <c r="AS14" s="1">
        <f ca="1">IFERROR(__xludf.DUMMYFUNCTION("""COMPUTED_VALUE"""),12)</f>
        <v>12</v>
      </c>
      <c r="AT14" s="1" t="str">
        <f ca="1">IFERROR(__xludf.DUMMYFUNCTION("""COMPUTED_VALUE"""),"Hugh McKenna")</f>
        <v>Hugh McKenna</v>
      </c>
      <c r="AU14" s="1" t="str">
        <f ca="1">IFERROR(__xludf.DUMMYFUNCTION("""COMPUTED_VALUE"""),"Lagan Valley AC")</f>
        <v>Lagan Valley AC</v>
      </c>
      <c r="AV14" s="3">
        <f ca="1">IFERROR(__xludf.DUMMYFUNCTION("""COMPUTED_VALUE"""),0.00907407407407407)</f>
        <v>9.0740740740740695E-3</v>
      </c>
      <c r="AW14" s="1" t="str">
        <f ca="1">IFERROR(__xludf.DUMMYFUNCTION("""COMPUTED_VALUE""")," ")</f>
        <v xml:space="preserve"> </v>
      </c>
      <c r="AX14" s="1" t="str">
        <f ca="1">IFERROR(__xludf.DUMMYFUNCTION("""COMPUTED_VALUE""")," ")</f>
        <v xml:space="preserve"> </v>
      </c>
      <c r="AY14" s="1" t="str">
        <f ca="1">IFERROR(__xludf.DUMMYFUNCTION("""COMPUTED_VALUE""")," ")</f>
        <v xml:space="preserve"> </v>
      </c>
      <c r="AZ14" s="1" t="str">
        <f ca="1">IFERROR(__xludf.DUMMYFUNCTION("""COMPUTED_VALUE""")," ")</f>
        <v xml:space="preserve"> </v>
      </c>
      <c r="BA14" s="1">
        <f ca="1">IFERROR(__xludf.DUMMYFUNCTION("""COMPUTED_VALUE"""),12)</f>
        <v>12</v>
      </c>
      <c r="BB14" s="1" t="str">
        <f ca="1">IFERROR(__xludf.DUMMYFUNCTION("""COMPUTED_VALUE"""),"Rudy Mayne")</f>
        <v>Rudy Mayne</v>
      </c>
      <c r="BC14" s="1" t="str">
        <f ca="1">IFERROR(__xludf.DUMMYFUNCTION("""COMPUTED_VALUE"""),"Loughview AC")</f>
        <v>Loughview AC</v>
      </c>
      <c r="BD14" s="3">
        <f ca="1">IFERROR(__xludf.DUMMYFUNCTION("""COMPUTED_VALUE"""),0.00850694444444444)</f>
        <v>8.5069444444444402E-3</v>
      </c>
      <c r="BE14" s="1" t="str">
        <f ca="1">IFERROR(__xludf.DUMMYFUNCTION("""COMPUTED_VALUE"""),"M50")</f>
        <v>M50</v>
      </c>
      <c r="BF14" s="1"/>
      <c r="BG14" s="1"/>
      <c r="BH14" s="1">
        <f ca="1">IFERROR(__xludf.DUMMYFUNCTION("""COMPUTED_VALUE"""),1)</f>
        <v>1</v>
      </c>
      <c r="BI14" s="1" t="str">
        <f ca="1">IFERROR(__xludf.DUMMYFUNCTION("""COMPUTED_VALUE"""),"Amanda Perry")</f>
        <v>Amanda Perry</v>
      </c>
      <c r="BJ14" s="1" t="str">
        <f ca="1">IFERROR(__xludf.DUMMYFUNCTION("""COMPUTED_VALUE"""),"Ballydrain Harriers")</f>
        <v>Ballydrain Harriers</v>
      </c>
    </row>
    <row r="15" spans="1:62" x14ac:dyDescent="0.25">
      <c r="A15" s="1">
        <f ca="1">IFERROR(__xludf.DUMMYFUNCTION("""COMPUTED_VALUE"""),13)</f>
        <v>13</v>
      </c>
      <c r="B15" s="1" t="str">
        <f ca="1">IFERROR(__xludf.DUMMYFUNCTION("""COMPUTED_VALUE"""),"Stephen Jamison")</f>
        <v>Stephen Jamison</v>
      </c>
      <c r="C15" s="1" t="str">
        <f ca="1">IFERROR(__xludf.DUMMYFUNCTION("""COMPUTED_VALUE"""),"M40")</f>
        <v>M40</v>
      </c>
      <c r="D15" s="1" t="str">
        <f ca="1">IFERROR(__xludf.DUMMYFUNCTION("""COMPUTED_VALUE"""),"City of Derry AC Spartans")</f>
        <v>City of Derry AC Spartans</v>
      </c>
      <c r="E15" s="3">
        <f ca="1">IFERROR(__xludf.DUMMYFUNCTION("""COMPUTED_VALUE"""),0.012349537037037)</f>
        <v>1.2349537037036999E-2</v>
      </c>
      <c r="F15" s="1">
        <f ca="1">IFERROR(__xludf.DUMMYFUNCTION("""COMPUTED_VALUE"""),13)</f>
        <v>13</v>
      </c>
      <c r="G15" s="1" t="str">
        <f ca="1">IFERROR(__xludf.DUMMYFUNCTION("""COMPUTED_VALUE"""),"Uilleac Fitzpatrick")</f>
        <v>Uilleac Fitzpatrick</v>
      </c>
      <c r="H15" s="1" t="str">
        <f ca="1">IFERROR(__xludf.DUMMYFUNCTION("""COMPUTED_VALUE"""),"U13B")</f>
        <v>U13B</v>
      </c>
      <c r="I15" s="1" t="str">
        <f ca="1">IFERROR(__xludf.DUMMYFUNCTION("""COMPUTED_VALUE"""),"Lagan Valley AC")</f>
        <v>Lagan Valley AC</v>
      </c>
      <c r="J15" s="3">
        <f ca="1">IFERROR(__xludf.DUMMYFUNCTION("""COMPUTED_VALUE"""),0.0043287037037037)</f>
        <v>4.3287037037037001E-3</v>
      </c>
      <c r="K15" s="1">
        <f ca="1">IFERROR(__xludf.DUMMYFUNCTION("""COMPUTED_VALUE"""),13)</f>
        <v>13</v>
      </c>
      <c r="L15" s="1" t="str">
        <f ca="1">IFERROR(__xludf.DUMMYFUNCTION("""COMPUTED_VALUE"""),"Debbie McConnell")</f>
        <v>Debbie McConnell</v>
      </c>
      <c r="M15" s="1" t="str">
        <f ca="1">IFERROR(__xludf.DUMMYFUNCTION("""COMPUTED_VALUE"""),"F35")</f>
        <v>F35</v>
      </c>
      <c r="N15" s="1" t="str">
        <f ca="1">IFERROR(__xludf.DUMMYFUNCTION("""COMPUTED_VALUE"""),"Jog Lisburn Running Club")</f>
        <v>Jog Lisburn Running Club</v>
      </c>
      <c r="O15" s="3">
        <f ca="1">IFERROR(__xludf.DUMMYFUNCTION("""COMPUTED_VALUE"""),0.0140509259259259)</f>
        <v>1.4050925925925901E-2</v>
      </c>
      <c r="P15" s="1">
        <f ca="1">IFERROR(__xludf.DUMMYFUNCTION("""COMPUTED_VALUE"""),13)</f>
        <v>13</v>
      </c>
      <c r="Q15" s="1" t="str">
        <f ca="1">IFERROR(__xludf.DUMMYFUNCTION("""COMPUTED_VALUE"""),"Isa McCarron")</f>
        <v>Isa McCarron</v>
      </c>
      <c r="R15" s="1" t="str">
        <f ca="1">IFERROR(__xludf.DUMMYFUNCTION("""COMPUTED_VALUE"""),"U15G")</f>
        <v>U15G</v>
      </c>
      <c r="S15" s="1" t="str">
        <f ca="1">IFERROR(__xludf.DUMMYFUNCTION("""COMPUTED_VALUE"""),"Lagan Valley AC")</f>
        <v>Lagan Valley AC</v>
      </c>
      <c r="T15" s="3">
        <f ca="1">IFERROR(__xludf.DUMMYFUNCTION("""COMPUTED_VALUE"""),0.0084375)</f>
        <v>8.4375000000000006E-3</v>
      </c>
      <c r="U15" s="1">
        <f ca="1">IFERROR(__xludf.DUMMYFUNCTION("""COMPUTED_VALUE"""),13)</f>
        <v>13</v>
      </c>
      <c r="V15" s="1" t="str">
        <f ca="1">IFERROR(__xludf.DUMMYFUNCTION("""COMPUTED_VALUE"""),"Conal McCambridge")</f>
        <v>Conal McCambridge</v>
      </c>
      <c r="W15" s="1" t="str">
        <f ca="1">IFERROR(__xludf.DUMMYFUNCTION("""COMPUTED_VALUE"""),"MO")</f>
        <v>MO</v>
      </c>
      <c r="X15" s="1" t="str">
        <f ca="1">IFERROR(__xludf.DUMMYFUNCTION("""COMPUTED_VALUE"""),"North Belfast Harriers")</f>
        <v>North Belfast Harriers</v>
      </c>
      <c r="Y15" s="3">
        <f ca="1">IFERROR(__xludf.DUMMYFUNCTION("""COMPUTED_VALUE"""),0.0155787037037037)</f>
        <v>1.5578703703703701E-2</v>
      </c>
      <c r="Z15" s="1">
        <f ca="1">IFERROR(__xludf.DUMMYFUNCTION("""COMPUTED_VALUE"""),13)</f>
        <v>13</v>
      </c>
      <c r="AA15" s="1" t="str">
        <f ca="1">IFERROR(__xludf.DUMMYFUNCTION("""COMPUTED_VALUE"""),"Erin Han")</f>
        <v>Erin Han</v>
      </c>
      <c r="AB15" s="1" t="str">
        <f ca="1">IFERROR(__xludf.DUMMYFUNCTION("""COMPUTED_VALUE"""),"Loughview AC")</f>
        <v>Loughview AC</v>
      </c>
      <c r="AC15" s="3">
        <f ca="1">IFERROR(__xludf.DUMMYFUNCTION("""COMPUTED_VALUE"""),0.00481481481481481)</f>
        <v>4.81481481481481E-3</v>
      </c>
      <c r="AD15" s="1">
        <f ca="1">IFERROR(__xludf.DUMMYFUNCTION("""COMPUTED_VALUE"""),13)</f>
        <v>13</v>
      </c>
      <c r="AE15" s="1" t="str">
        <f ca="1">IFERROR(__xludf.DUMMYFUNCTION("""COMPUTED_VALUE"""),"Charlie Leckey")</f>
        <v>Charlie Leckey</v>
      </c>
      <c r="AF15" s="1" t="str">
        <f ca="1">IFERROR(__xludf.DUMMYFUNCTION("""COMPUTED_VALUE"""),"Willowfield Harriers")</f>
        <v>Willowfield Harriers</v>
      </c>
      <c r="AG15" s="3">
        <f ca="1">IFERROR(__xludf.DUMMYFUNCTION("""COMPUTED_VALUE"""),0.00439814814814814)</f>
        <v>4.3981481481481398E-3</v>
      </c>
      <c r="AH15" s="1" t="str">
        <f ca="1">IFERROR(__xludf.DUMMYFUNCTION("""COMPUTED_VALUE""")," ")</f>
        <v xml:space="preserve"> </v>
      </c>
      <c r="AI15" s="1" t="str">
        <f ca="1">IFERROR(__xludf.DUMMYFUNCTION("""COMPUTED_VALUE""")," ")</f>
        <v xml:space="preserve"> </v>
      </c>
      <c r="AJ15" s="1" t="str">
        <f ca="1">IFERROR(__xludf.DUMMYFUNCTION("""COMPUTED_VALUE""")," ")</f>
        <v xml:space="preserve"> </v>
      </c>
      <c r="AK15" s="1" t="str">
        <f ca="1">IFERROR(__xludf.DUMMYFUNCTION("""COMPUTED_VALUE""")," ")</f>
        <v xml:space="preserve"> </v>
      </c>
      <c r="AL15" s="1" t="str">
        <f ca="1">IFERROR(__xludf.DUMMYFUNCTION("""COMPUTED_VALUE""")," ")</f>
        <v xml:space="preserve"> </v>
      </c>
      <c r="AM15" s="1" t="str">
        <f ca="1">IFERROR(__xludf.DUMMYFUNCTION("""COMPUTED_VALUE""")," ")</f>
        <v xml:space="preserve"> </v>
      </c>
      <c r="AN15" s="1" t="str">
        <f ca="1">IFERROR(__xludf.DUMMYFUNCTION("""COMPUTED_VALUE""")," ")</f>
        <v xml:space="preserve"> </v>
      </c>
      <c r="AO15" s="1">
        <f ca="1">IFERROR(__xludf.DUMMYFUNCTION("""COMPUTED_VALUE"""),13)</f>
        <v>13</v>
      </c>
      <c r="AP15" s="1" t="str">
        <f ca="1">IFERROR(__xludf.DUMMYFUNCTION("""COMPUTED_VALUE"""),"Lucy Magreehan")</f>
        <v>Lucy Magreehan</v>
      </c>
      <c r="AQ15" s="1" t="str">
        <f ca="1">IFERROR(__xludf.DUMMYFUNCTION("""COMPUTED_VALUE"""),"North Down AC")</f>
        <v>North Down AC</v>
      </c>
      <c r="AR15" s="3">
        <f ca="1">IFERROR(__xludf.DUMMYFUNCTION("""COMPUTED_VALUE"""),0.0107638888888888)</f>
        <v>1.07638888888888E-2</v>
      </c>
      <c r="AS15" s="1">
        <f ca="1">IFERROR(__xludf.DUMMYFUNCTION("""COMPUTED_VALUE"""),13)</f>
        <v>13</v>
      </c>
      <c r="AT15" s="1" t="str">
        <f ca="1">IFERROR(__xludf.DUMMYFUNCTION("""COMPUTED_VALUE"""),"Oisin Donohoe")</f>
        <v>Oisin Donohoe</v>
      </c>
      <c r="AU15" s="1" t="str">
        <f ca="1">IFERROR(__xludf.DUMMYFUNCTION("""COMPUTED_VALUE"""),"St Michael's Enniskillen")</f>
        <v>St Michael's Enniskillen</v>
      </c>
      <c r="AV15" s="3">
        <f ca="1">IFERROR(__xludf.DUMMYFUNCTION("""COMPUTED_VALUE"""),0.00916666666666666)</f>
        <v>9.1666666666666598E-3</v>
      </c>
      <c r="AW15" s="1" t="str">
        <f ca="1">IFERROR(__xludf.DUMMYFUNCTION("""COMPUTED_VALUE""")," ")</f>
        <v xml:space="preserve"> </v>
      </c>
      <c r="AX15" s="1" t="str">
        <f ca="1">IFERROR(__xludf.DUMMYFUNCTION("""COMPUTED_VALUE""")," ")</f>
        <v xml:space="preserve"> </v>
      </c>
      <c r="AY15" s="1" t="str">
        <f ca="1">IFERROR(__xludf.DUMMYFUNCTION("""COMPUTED_VALUE""")," ")</f>
        <v xml:space="preserve"> </v>
      </c>
      <c r="AZ15" s="1" t="str">
        <f ca="1">IFERROR(__xludf.DUMMYFUNCTION("""COMPUTED_VALUE""")," ")</f>
        <v xml:space="preserve"> </v>
      </c>
      <c r="BA15" s="1">
        <f ca="1">IFERROR(__xludf.DUMMYFUNCTION("""COMPUTED_VALUE"""),13)</f>
        <v>13</v>
      </c>
      <c r="BB15" s="1" t="str">
        <f ca="1">IFERROR(__xludf.DUMMYFUNCTION("""COMPUTED_VALUE"""),"Jacob Crawford")</f>
        <v>Jacob Crawford</v>
      </c>
      <c r="BC15" s="1" t="str">
        <f ca="1">IFERROR(__xludf.DUMMYFUNCTION("""COMPUTED_VALUE"""),"East Down AC")</f>
        <v>East Down AC</v>
      </c>
      <c r="BD15" s="3">
        <f ca="1">IFERROR(__xludf.DUMMYFUNCTION("""COMPUTED_VALUE"""),0.00854166666666666)</f>
        <v>8.5416666666666592E-3</v>
      </c>
      <c r="BE15" s="1">
        <f ca="1">IFERROR(__xludf.DUMMYFUNCTION("""COMPUTED_VALUE"""),1)</f>
        <v>1</v>
      </c>
      <c r="BF15" s="1" t="str">
        <f ca="1">IFERROR(__xludf.DUMMYFUNCTION("""COMPUTED_VALUE"""),"Niall O'Gorman")</f>
        <v>Niall O'Gorman</v>
      </c>
      <c r="BG15" s="1" t="str">
        <f ca="1">IFERROR(__xludf.DUMMYFUNCTION("""COMPUTED_VALUE"""),"Annadale Striders")</f>
        <v>Annadale Striders</v>
      </c>
      <c r="BH15" s="1">
        <f ca="1">IFERROR(__xludf.DUMMYFUNCTION("""COMPUTED_VALUE"""),2)</f>
        <v>2</v>
      </c>
      <c r="BI15" s="1" t="str">
        <f ca="1">IFERROR(__xludf.DUMMYFUNCTION("""COMPUTED_VALUE"""),"Karen Wilton")</f>
        <v>Karen Wilton</v>
      </c>
      <c r="BJ15" s="1" t="str">
        <f ca="1">IFERROR(__xludf.DUMMYFUNCTION("""COMPUTED_VALUE"""),"Jog Lisburn Running Club")</f>
        <v>Jog Lisburn Running Club</v>
      </c>
    </row>
    <row r="16" spans="1:62" x14ac:dyDescent="0.25">
      <c r="A16" s="1">
        <f ca="1">IFERROR(__xludf.DUMMYFUNCTION("""COMPUTED_VALUE"""),14)</f>
        <v>14</v>
      </c>
      <c r="B16" s="1" t="str">
        <f ca="1">IFERROR(__xludf.DUMMYFUNCTION("""COMPUTED_VALUE"""),"Michael Kelly")</f>
        <v>Michael Kelly</v>
      </c>
      <c r="C16" s="1" t="str">
        <f ca="1">IFERROR(__xludf.DUMMYFUNCTION("""COMPUTED_VALUE"""),"M45")</f>
        <v>M45</v>
      </c>
      <c r="D16" s="1" t="str">
        <f ca="1">IFERROR(__xludf.DUMMYFUNCTION("""COMPUTED_VALUE"""),"Armagh AC")</f>
        <v>Armagh AC</v>
      </c>
      <c r="E16" s="3">
        <f ca="1">IFERROR(__xludf.DUMMYFUNCTION("""COMPUTED_VALUE"""),0.0123611111111111)</f>
        <v>1.2361111111111101E-2</v>
      </c>
      <c r="F16" s="1">
        <f ca="1">IFERROR(__xludf.DUMMYFUNCTION("""COMPUTED_VALUE"""),14)</f>
        <v>14</v>
      </c>
      <c r="G16" s="1" t="str">
        <f ca="1">IFERROR(__xludf.DUMMYFUNCTION("""COMPUTED_VALUE"""),"Deivs Tarvids")</f>
        <v>Deivs Tarvids</v>
      </c>
      <c r="H16" s="1" t="str">
        <f ca="1">IFERROR(__xludf.DUMMYFUNCTION("""COMPUTED_VALUE"""),"U13B")</f>
        <v>U13B</v>
      </c>
      <c r="I16" s="1" t="str">
        <f ca="1">IFERROR(__xludf.DUMMYFUNCTION("""COMPUTED_VALUE"""),"St Michael's Enniskillen")</f>
        <v>St Michael's Enniskillen</v>
      </c>
      <c r="J16" s="3">
        <f ca="1">IFERROR(__xludf.DUMMYFUNCTION("""COMPUTED_VALUE"""),0.0043287037037037)</f>
        <v>4.3287037037037001E-3</v>
      </c>
      <c r="K16" s="1">
        <f ca="1">IFERROR(__xludf.DUMMYFUNCTION("""COMPUTED_VALUE"""),14)</f>
        <v>14</v>
      </c>
      <c r="L16" s="1" t="str">
        <f ca="1">IFERROR(__xludf.DUMMYFUNCTION("""COMPUTED_VALUE"""),"Catherine Diver")</f>
        <v>Catherine Diver</v>
      </c>
      <c r="M16" s="1" t="str">
        <f ca="1">IFERROR(__xludf.DUMMYFUNCTION("""COMPUTED_VALUE"""),"F40")</f>
        <v>F40</v>
      </c>
      <c r="N16" s="1" t="str">
        <f ca="1">IFERROR(__xludf.DUMMYFUNCTION("""COMPUTED_VALUE"""),"Beechmount Harriers")</f>
        <v>Beechmount Harriers</v>
      </c>
      <c r="O16" s="3">
        <f ca="1">IFERROR(__xludf.DUMMYFUNCTION("""COMPUTED_VALUE"""),0.0141203703703703)</f>
        <v>1.4120370370370301E-2</v>
      </c>
      <c r="P16" s="1">
        <f ca="1">IFERROR(__xludf.DUMMYFUNCTION("""COMPUTED_VALUE"""),14)</f>
        <v>14</v>
      </c>
      <c r="Q16" s="1" t="str">
        <f ca="1">IFERROR(__xludf.DUMMYFUNCTION("""COMPUTED_VALUE"""),"Josh Hamill")</f>
        <v>Josh Hamill</v>
      </c>
      <c r="R16" s="1" t="str">
        <f ca="1">IFERROR(__xludf.DUMMYFUNCTION("""COMPUTED_VALUE"""),"U15B")</f>
        <v>U15B</v>
      </c>
      <c r="S16" s="1" t="str">
        <f ca="1">IFERROR(__xludf.DUMMYFUNCTION("""COMPUTED_VALUE"""),"St Michael's Enniskillen")</f>
        <v>St Michael's Enniskillen</v>
      </c>
      <c r="T16" s="3">
        <f ca="1">IFERROR(__xludf.DUMMYFUNCTION("""COMPUTED_VALUE"""),0.00848379629629629)</f>
        <v>8.4837962962962896E-3</v>
      </c>
      <c r="U16" s="1">
        <f ca="1">IFERROR(__xludf.DUMMYFUNCTION("""COMPUTED_VALUE"""),14)</f>
        <v>14</v>
      </c>
      <c r="V16" s="1" t="str">
        <f ca="1">IFERROR(__xludf.DUMMYFUNCTION("""COMPUTED_VALUE"""),"Christopher Neill")</f>
        <v>Christopher Neill</v>
      </c>
      <c r="W16" s="1" t="str">
        <f ca="1">IFERROR(__xludf.DUMMYFUNCTION("""COMPUTED_VALUE"""),"MJ")</f>
        <v>MJ</v>
      </c>
      <c r="X16" s="1" t="str">
        <f ca="1">IFERROR(__xludf.DUMMYFUNCTION("""COMPUTED_VALUE"""),"Newcastle &amp; District AC")</f>
        <v>Newcastle &amp; District AC</v>
      </c>
      <c r="Y16" s="3">
        <f ca="1">IFERROR(__xludf.DUMMYFUNCTION("""COMPUTED_VALUE"""),0.0155902777777777)</f>
        <v>1.5590277777777699E-2</v>
      </c>
      <c r="Z16" s="1">
        <f ca="1">IFERROR(__xludf.DUMMYFUNCTION("""COMPUTED_VALUE"""),14)</f>
        <v>14</v>
      </c>
      <c r="AA16" s="1" t="str">
        <f ca="1">IFERROR(__xludf.DUMMYFUNCTION("""COMPUTED_VALUE"""),"Mollie Sherrard")</f>
        <v>Mollie Sherrard</v>
      </c>
      <c r="AB16" s="1" t="str">
        <f ca="1">IFERROR(__xludf.DUMMYFUNCTION("""COMPUTED_VALUE"""),"Lagan Valley AC")</f>
        <v>Lagan Valley AC</v>
      </c>
      <c r="AC16" s="3">
        <f ca="1">IFERROR(__xludf.DUMMYFUNCTION("""COMPUTED_VALUE"""),0.00482638888888888)</f>
        <v>4.8263888888888801E-3</v>
      </c>
      <c r="AD16" s="1">
        <f ca="1">IFERROR(__xludf.DUMMYFUNCTION("""COMPUTED_VALUE"""),14)</f>
        <v>14</v>
      </c>
      <c r="AE16" s="1" t="str">
        <f ca="1">IFERROR(__xludf.DUMMYFUNCTION("""COMPUTED_VALUE"""),"Alex Reid")</f>
        <v>Alex Reid</v>
      </c>
      <c r="AF16" s="1" t="str">
        <f ca="1">IFERROR(__xludf.DUMMYFUNCTION("""COMPUTED_VALUE"""),"North Belfast Harriers")</f>
        <v>North Belfast Harriers</v>
      </c>
      <c r="AG16" s="3">
        <f ca="1">IFERROR(__xludf.DUMMYFUNCTION("""COMPUTED_VALUE"""),0.00440972222222222)</f>
        <v>4.4097222222222203E-3</v>
      </c>
      <c r="AH16" s="1" t="str">
        <f ca="1">IFERROR(__xludf.DUMMYFUNCTION("""COMPUTED_VALUE""")," ")</f>
        <v xml:space="preserve"> </v>
      </c>
      <c r="AI16" s="1" t="str">
        <f ca="1">IFERROR(__xludf.DUMMYFUNCTION("""COMPUTED_VALUE""")," ")</f>
        <v xml:space="preserve"> </v>
      </c>
      <c r="AJ16" s="1" t="str">
        <f ca="1">IFERROR(__xludf.DUMMYFUNCTION("""COMPUTED_VALUE""")," ")</f>
        <v xml:space="preserve"> </v>
      </c>
      <c r="AK16" s="1" t="str">
        <f ca="1">IFERROR(__xludf.DUMMYFUNCTION("""COMPUTED_VALUE""")," ")</f>
        <v xml:space="preserve"> </v>
      </c>
      <c r="AL16" s="1" t="str">
        <f ca="1">IFERROR(__xludf.DUMMYFUNCTION("""COMPUTED_VALUE""")," ")</f>
        <v xml:space="preserve"> </v>
      </c>
      <c r="AM16" s="1" t="str">
        <f ca="1">IFERROR(__xludf.DUMMYFUNCTION("""COMPUTED_VALUE""")," ")</f>
        <v xml:space="preserve"> </v>
      </c>
      <c r="AN16" s="1" t="str">
        <f ca="1">IFERROR(__xludf.DUMMYFUNCTION("""COMPUTED_VALUE""")," ")</f>
        <v xml:space="preserve"> </v>
      </c>
      <c r="AO16" s="1">
        <f ca="1">IFERROR(__xludf.DUMMYFUNCTION("""COMPUTED_VALUE"""),14)</f>
        <v>14</v>
      </c>
      <c r="AP16" s="1" t="str">
        <f ca="1">IFERROR(__xludf.DUMMYFUNCTION("""COMPUTED_VALUE"""),"Anna Moran")</f>
        <v>Anna Moran</v>
      </c>
      <c r="AQ16" s="1" t="str">
        <f ca="1">IFERROR(__xludf.DUMMYFUNCTION("""COMPUTED_VALUE"""),"North Down AC")</f>
        <v>North Down AC</v>
      </c>
      <c r="AR16" s="3">
        <f ca="1">IFERROR(__xludf.DUMMYFUNCTION("""COMPUTED_VALUE"""),0.010787037037037)</f>
        <v>1.0787037037037E-2</v>
      </c>
      <c r="AS16" s="1">
        <f ca="1">IFERROR(__xludf.DUMMYFUNCTION("""COMPUTED_VALUE"""),14)</f>
        <v>14</v>
      </c>
      <c r="AT16" s="1" t="str">
        <f ca="1">IFERROR(__xludf.DUMMYFUNCTION("""COMPUTED_VALUE"""),"Jack Crudden")</f>
        <v>Jack Crudden</v>
      </c>
      <c r="AU16" s="1" t="str">
        <f ca="1">IFERROR(__xludf.DUMMYFUNCTION("""COMPUTED_VALUE"""),"St Michael's Enniskillen")</f>
        <v>St Michael's Enniskillen</v>
      </c>
      <c r="AV16" s="3">
        <f ca="1">IFERROR(__xludf.DUMMYFUNCTION("""COMPUTED_VALUE"""),0.00921296296296296)</f>
        <v>9.2129629629629593E-3</v>
      </c>
      <c r="AW16" s="1" t="str">
        <f ca="1">IFERROR(__xludf.DUMMYFUNCTION("""COMPUTED_VALUE""")," ")</f>
        <v xml:space="preserve"> </v>
      </c>
      <c r="AX16" s="1" t="str">
        <f ca="1">IFERROR(__xludf.DUMMYFUNCTION("""COMPUTED_VALUE""")," ")</f>
        <v xml:space="preserve"> </v>
      </c>
      <c r="AY16" s="1" t="str">
        <f ca="1">IFERROR(__xludf.DUMMYFUNCTION("""COMPUTED_VALUE""")," ")</f>
        <v xml:space="preserve"> </v>
      </c>
      <c r="AZ16" s="1" t="str">
        <f ca="1">IFERROR(__xludf.DUMMYFUNCTION("""COMPUTED_VALUE""")," ")</f>
        <v xml:space="preserve"> </v>
      </c>
      <c r="BA16" s="1">
        <f ca="1">IFERROR(__xludf.DUMMYFUNCTION("""COMPUTED_VALUE"""),14)</f>
        <v>14</v>
      </c>
      <c r="BB16" s="1" t="str">
        <f ca="1">IFERROR(__xludf.DUMMYFUNCTION("""COMPUTED_VALUE"""),"Ben Proctor")</f>
        <v>Ben Proctor</v>
      </c>
      <c r="BC16" s="1" t="str">
        <f ca="1">IFERROR(__xludf.DUMMYFUNCTION("""COMPUTED_VALUE"""),"Willowfield Harriers")</f>
        <v>Willowfield Harriers</v>
      </c>
      <c r="BD16" s="3">
        <f ca="1">IFERROR(__xludf.DUMMYFUNCTION("""COMPUTED_VALUE"""),0.00868055555555555)</f>
        <v>8.6805555555555507E-3</v>
      </c>
      <c r="BE16" s="1">
        <f ca="1">IFERROR(__xludf.DUMMYFUNCTION("""COMPUTED_VALUE"""),2)</f>
        <v>2</v>
      </c>
      <c r="BF16" s="1" t="str">
        <f ca="1">IFERROR(__xludf.DUMMYFUNCTION("""COMPUTED_VALUE"""),"Neil Carty")</f>
        <v>Neil Carty</v>
      </c>
      <c r="BG16" s="1" t="str">
        <f ca="1">IFERROR(__xludf.DUMMYFUNCTION("""COMPUTED_VALUE"""),"North Belfast Harriers")</f>
        <v>North Belfast Harriers</v>
      </c>
      <c r="BH16" s="1"/>
      <c r="BI16" s="1"/>
      <c r="BJ16" s="1"/>
    </row>
    <row r="17" spans="1:62" x14ac:dyDescent="0.25">
      <c r="A17" s="1">
        <f ca="1">IFERROR(__xludf.DUMMYFUNCTION("""COMPUTED_VALUE"""),15)</f>
        <v>15</v>
      </c>
      <c r="B17" s="1" t="str">
        <f ca="1">IFERROR(__xludf.DUMMYFUNCTION("""COMPUTED_VALUE"""),"Neil Carty")</f>
        <v>Neil Carty</v>
      </c>
      <c r="C17" s="1" t="str">
        <f ca="1">IFERROR(__xludf.DUMMYFUNCTION("""COMPUTED_VALUE"""),"M55")</f>
        <v>M55</v>
      </c>
      <c r="D17" s="1" t="str">
        <f ca="1">IFERROR(__xludf.DUMMYFUNCTION("""COMPUTED_VALUE"""),"North Belfast Harriers")</f>
        <v>North Belfast Harriers</v>
      </c>
      <c r="E17" s="3">
        <f ca="1">IFERROR(__xludf.DUMMYFUNCTION("""COMPUTED_VALUE"""),0.0123842592592592)</f>
        <v>1.2384259259259201E-2</v>
      </c>
      <c r="F17" s="1">
        <f ca="1">IFERROR(__xludf.DUMMYFUNCTION("""COMPUTED_VALUE"""),15)</f>
        <v>15</v>
      </c>
      <c r="G17" s="1" t="str">
        <f ca="1">IFERROR(__xludf.DUMMYFUNCTION("""COMPUTED_VALUE"""),"Diarmuid Rasdale")</f>
        <v>Diarmuid Rasdale</v>
      </c>
      <c r="H17" s="1" t="str">
        <f ca="1">IFERROR(__xludf.DUMMYFUNCTION("""COMPUTED_VALUE"""),"U13B")</f>
        <v>U13B</v>
      </c>
      <c r="I17" s="1" t="str">
        <f ca="1">IFERROR(__xludf.DUMMYFUNCTION("""COMPUTED_VALUE"""),"St Michael's Enniskillen")</f>
        <v>St Michael's Enniskillen</v>
      </c>
      <c r="J17" s="3">
        <f ca="1">IFERROR(__xludf.DUMMYFUNCTION("""COMPUTED_VALUE"""),0.00435185185185185)</f>
        <v>4.3518518518518498E-3</v>
      </c>
      <c r="K17" s="1">
        <f ca="1">IFERROR(__xludf.DUMMYFUNCTION("""COMPUTED_VALUE"""),15)</f>
        <v>15</v>
      </c>
      <c r="L17" s="1" t="str">
        <f ca="1">IFERROR(__xludf.DUMMYFUNCTION("""COMPUTED_VALUE"""),"Caitriona Edington")</f>
        <v>Caitriona Edington</v>
      </c>
      <c r="M17" s="1" t="str">
        <f ca="1">IFERROR(__xludf.DUMMYFUNCTION("""COMPUTED_VALUE"""),"FO")</f>
        <v>FO</v>
      </c>
      <c r="N17" s="1" t="str">
        <f ca="1">IFERROR(__xludf.DUMMYFUNCTION("""COMPUTED_VALUE"""),"Queen's University")</f>
        <v>Queen's University</v>
      </c>
      <c r="O17" s="3">
        <f ca="1">IFERROR(__xludf.DUMMYFUNCTION("""COMPUTED_VALUE"""),0.0141203703703703)</f>
        <v>1.4120370370370301E-2</v>
      </c>
      <c r="P17" s="1">
        <f ca="1">IFERROR(__xludf.DUMMYFUNCTION("""COMPUTED_VALUE"""),15)</f>
        <v>15</v>
      </c>
      <c r="Q17" s="1" t="str">
        <f ca="1">IFERROR(__xludf.DUMMYFUNCTION("""COMPUTED_VALUE"""),"Daniel Doherty")</f>
        <v>Daniel Doherty</v>
      </c>
      <c r="R17" s="1" t="str">
        <f ca="1">IFERROR(__xludf.DUMMYFUNCTION("""COMPUTED_VALUE"""),"U17B")</f>
        <v>U17B</v>
      </c>
      <c r="S17" s="1" t="str">
        <f ca="1">IFERROR(__xludf.DUMMYFUNCTION("""COMPUTED_VALUE"""),"Lagan Valley AC")</f>
        <v>Lagan Valley AC</v>
      </c>
      <c r="T17" s="3">
        <f ca="1">IFERROR(__xludf.DUMMYFUNCTION("""COMPUTED_VALUE"""),0.00850694444444444)</f>
        <v>8.5069444444444402E-3</v>
      </c>
      <c r="U17" s="1">
        <f ca="1">IFERROR(__xludf.DUMMYFUNCTION("""COMPUTED_VALUE"""),15)</f>
        <v>15</v>
      </c>
      <c r="V17" s="1" t="str">
        <f ca="1">IFERROR(__xludf.DUMMYFUNCTION("""COMPUTED_VALUE"""),"Jake Stafford")</f>
        <v>Jake Stafford</v>
      </c>
      <c r="W17" s="1" t="str">
        <f ca="1">IFERROR(__xludf.DUMMYFUNCTION("""COMPUTED_VALUE"""),"MJ")</f>
        <v>MJ</v>
      </c>
      <c r="X17" s="1" t="str">
        <f ca="1">IFERROR(__xludf.DUMMYFUNCTION("""COMPUTED_VALUE"""),"Willowfield Harriers")</f>
        <v>Willowfield Harriers</v>
      </c>
      <c r="Y17" s="3">
        <f ca="1">IFERROR(__xludf.DUMMYFUNCTION("""COMPUTED_VALUE"""),0.0156134259259259)</f>
        <v>1.56134259259259E-2</v>
      </c>
      <c r="Z17" s="1">
        <f ca="1">IFERROR(__xludf.DUMMYFUNCTION("""COMPUTED_VALUE"""),15)</f>
        <v>15</v>
      </c>
      <c r="AA17" s="1" t="str">
        <f ca="1">IFERROR(__xludf.DUMMYFUNCTION("""COMPUTED_VALUE"""),"Cliona McGinley")</f>
        <v>Cliona McGinley</v>
      </c>
      <c r="AB17" s="1" t="str">
        <f ca="1">IFERROR(__xludf.DUMMYFUNCTION("""COMPUTED_VALUE"""),"North Belfast Harriers")</f>
        <v>North Belfast Harriers</v>
      </c>
      <c r="AC17" s="3">
        <f ca="1">IFERROR(__xludf.DUMMYFUNCTION("""COMPUTED_VALUE"""),0.00484953703703703)</f>
        <v>4.8495370370370298E-3</v>
      </c>
      <c r="AD17" s="1">
        <f ca="1">IFERROR(__xludf.DUMMYFUNCTION("""COMPUTED_VALUE"""),15)</f>
        <v>15</v>
      </c>
      <c r="AE17" s="1" t="str">
        <f ca="1">IFERROR(__xludf.DUMMYFUNCTION("""COMPUTED_VALUE"""),"Adam Forster")</f>
        <v>Adam Forster</v>
      </c>
      <c r="AF17" s="1" t="str">
        <f ca="1">IFERROR(__xludf.DUMMYFUNCTION("""COMPUTED_VALUE"""),"St Michael's Enniskillen")</f>
        <v>St Michael's Enniskillen</v>
      </c>
      <c r="AG17" s="3">
        <f ca="1">IFERROR(__xludf.DUMMYFUNCTION("""COMPUTED_VALUE"""),0.00442129629629629)</f>
        <v>4.4212962962962904E-3</v>
      </c>
      <c r="AH17" s="1" t="str">
        <f ca="1">IFERROR(__xludf.DUMMYFUNCTION("""COMPUTED_VALUE""")," ")</f>
        <v xml:space="preserve"> </v>
      </c>
      <c r="AI17" s="1" t="str">
        <f ca="1">IFERROR(__xludf.DUMMYFUNCTION("""COMPUTED_VALUE""")," ")</f>
        <v xml:space="preserve"> </v>
      </c>
      <c r="AJ17" s="1" t="str">
        <f ca="1">IFERROR(__xludf.DUMMYFUNCTION("""COMPUTED_VALUE""")," ")</f>
        <v xml:space="preserve"> </v>
      </c>
      <c r="AK17" s="1" t="str">
        <f ca="1">IFERROR(__xludf.DUMMYFUNCTION("""COMPUTED_VALUE""")," ")</f>
        <v xml:space="preserve"> </v>
      </c>
      <c r="AL17" s="1" t="str">
        <f ca="1">IFERROR(__xludf.DUMMYFUNCTION("""COMPUTED_VALUE""")," ")</f>
        <v xml:space="preserve"> </v>
      </c>
      <c r="AM17" s="1" t="str">
        <f ca="1">IFERROR(__xludf.DUMMYFUNCTION("""COMPUTED_VALUE""")," ")</f>
        <v xml:space="preserve"> </v>
      </c>
      <c r="AN17" s="1" t="str">
        <f ca="1">IFERROR(__xludf.DUMMYFUNCTION("""COMPUTED_VALUE""")," ")</f>
        <v xml:space="preserve"> </v>
      </c>
      <c r="AO17" s="1">
        <f ca="1">IFERROR(__xludf.DUMMYFUNCTION("""COMPUTED_VALUE"""),15)</f>
        <v>15</v>
      </c>
      <c r="AP17" s="1" t="str">
        <f ca="1">IFERROR(__xludf.DUMMYFUNCTION("""COMPUTED_VALUE"""),"Emily Barry")</f>
        <v>Emily Barry</v>
      </c>
      <c r="AQ17" s="1" t="str">
        <f ca="1">IFERROR(__xludf.DUMMYFUNCTION("""COMPUTED_VALUE"""),"North Down AC")</f>
        <v>North Down AC</v>
      </c>
      <c r="AR17" s="3">
        <f ca="1">IFERROR(__xludf.DUMMYFUNCTION("""COMPUTED_VALUE"""),0.0108101851851851)</f>
        <v>1.08101851851851E-2</v>
      </c>
      <c r="AS17" s="1">
        <f ca="1">IFERROR(__xludf.DUMMYFUNCTION("""COMPUTED_VALUE"""),15)</f>
        <v>15</v>
      </c>
      <c r="AT17" s="1" t="str">
        <f ca="1">IFERROR(__xludf.DUMMYFUNCTION("""COMPUTED_VALUE"""),"Lewis Maguire")</f>
        <v>Lewis Maguire</v>
      </c>
      <c r="AU17" s="1" t="str">
        <f ca="1">IFERROR(__xludf.DUMMYFUNCTION("""COMPUTED_VALUE"""),"St Michael's Enniskillen")</f>
        <v>St Michael's Enniskillen</v>
      </c>
      <c r="AV17" s="3">
        <f ca="1">IFERROR(__xludf.DUMMYFUNCTION("""COMPUTED_VALUE"""),0.00950231481481481)</f>
        <v>9.5023148148148107E-3</v>
      </c>
      <c r="AW17" s="1" t="str">
        <f ca="1">IFERROR(__xludf.DUMMYFUNCTION("""COMPUTED_VALUE""")," ")</f>
        <v xml:space="preserve"> </v>
      </c>
      <c r="AX17" s="1" t="str">
        <f ca="1">IFERROR(__xludf.DUMMYFUNCTION("""COMPUTED_VALUE""")," ")</f>
        <v xml:space="preserve"> </v>
      </c>
      <c r="AY17" s="1" t="str">
        <f ca="1">IFERROR(__xludf.DUMMYFUNCTION("""COMPUTED_VALUE""")," ")</f>
        <v xml:space="preserve"> </v>
      </c>
      <c r="AZ17" s="1" t="str">
        <f ca="1">IFERROR(__xludf.DUMMYFUNCTION("""COMPUTED_VALUE""")," ")</f>
        <v xml:space="preserve"> </v>
      </c>
      <c r="BA17" s="1">
        <f ca="1">IFERROR(__xludf.DUMMYFUNCTION("""COMPUTED_VALUE"""),15)</f>
        <v>15</v>
      </c>
      <c r="BB17" s="1" t="str">
        <f ca="1">IFERROR(__xludf.DUMMYFUNCTION("""COMPUTED_VALUE"""),"Euan Monro")</f>
        <v>Euan Monro</v>
      </c>
      <c r="BC17" s="1" t="str">
        <f ca="1">IFERROR(__xludf.DUMMYFUNCTION("""COMPUTED_VALUE"""),"Loughview AC")</f>
        <v>Loughview AC</v>
      </c>
      <c r="BD17" s="3">
        <f ca="1">IFERROR(__xludf.DUMMYFUNCTION("""COMPUTED_VALUE"""),0.00872685185185185)</f>
        <v>8.7268518518518502E-3</v>
      </c>
      <c r="BE17" s="1"/>
      <c r="BF17" s="1"/>
      <c r="BG17" s="1"/>
      <c r="BH17" s="1" t="str">
        <f ca="1">IFERROR(__xludf.DUMMYFUNCTION("""COMPUTED_VALUE"""),"F50")</f>
        <v>F50</v>
      </c>
      <c r="BI17" s="1"/>
      <c r="BJ17" s="1"/>
    </row>
    <row r="18" spans="1:62" x14ac:dyDescent="0.25">
      <c r="A18" s="1">
        <f ca="1">IFERROR(__xludf.DUMMYFUNCTION("""COMPUTED_VALUE"""),16)</f>
        <v>16</v>
      </c>
      <c r="B18" s="1" t="str">
        <f ca="1">IFERROR(__xludf.DUMMYFUNCTION("""COMPUTED_VALUE"""),"John Nicholson")</f>
        <v>John Nicholson</v>
      </c>
      <c r="C18" s="1" t="str">
        <f ca="1">IFERROR(__xludf.DUMMYFUNCTION("""COMPUTED_VALUE"""),"M45")</f>
        <v>M45</v>
      </c>
      <c r="D18" s="1" t="str">
        <f ca="1">IFERROR(__xludf.DUMMYFUNCTION("""COMPUTED_VALUE"""),"Ballymena Runners")</f>
        <v>Ballymena Runners</v>
      </c>
      <c r="E18" s="3">
        <f ca="1">IFERROR(__xludf.DUMMYFUNCTION("""COMPUTED_VALUE"""),0.0124189814814814)</f>
        <v>1.2418981481481401E-2</v>
      </c>
      <c r="F18" s="1">
        <f ca="1">IFERROR(__xludf.DUMMYFUNCTION("""COMPUTED_VALUE"""),16)</f>
        <v>16</v>
      </c>
      <c r="G18" s="1" t="str">
        <f ca="1">IFERROR(__xludf.DUMMYFUNCTION("""COMPUTED_VALUE"""),"Charlie Leckey")</f>
        <v>Charlie Leckey</v>
      </c>
      <c r="H18" s="1" t="str">
        <f ca="1">IFERROR(__xludf.DUMMYFUNCTION("""COMPUTED_VALUE"""),"U13B")</f>
        <v>U13B</v>
      </c>
      <c r="I18" s="1" t="str">
        <f ca="1">IFERROR(__xludf.DUMMYFUNCTION("""COMPUTED_VALUE"""),"Willowfield Harriers")</f>
        <v>Willowfield Harriers</v>
      </c>
      <c r="J18" s="3">
        <f ca="1">IFERROR(__xludf.DUMMYFUNCTION("""COMPUTED_VALUE"""),0.00439814814814814)</f>
        <v>4.3981481481481398E-3</v>
      </c>
      <c r="K18" s="1">
        <f ca="1">IFERROR(__xludf.DUMMYFUNCTION("""COMPUTED_VALUE"""),16)</f>
        <v>16</v>
      </c>
      <c r="L18" s="1" t="str">
        <f ca="1">IFERROR(__xludf.DUMMYFUNCTION("""COMPUTED_VALUE"""),"Amanda Perry")</f>
        <v>Amanda Perry</v>
      </c>
      <c r="M18" s="1" t="str">
        <f ca="1">IFERROR(__xludf.DUMMYFUNCTION("""COMPUTED_VALUE"""),"F45")</f>
        <v>F45</v>
      </c>
      <c r="N18" s="1" t="str">
        <f ca="1">IFERROR(__xludf.DUMMYFUNCTION("""COMPUTED_VALUE"""),"Ballydrain Harriers")</f>
        <v>Ballydrain Harriers</v>
      </c>
      <c r="O18" s="3">
        <f ca="1">IFERROR(__xludf.DUMMYFUNCTION("""COMPUTED_VALUE"""),0.0141666666666666)</f>
        <v>1.41666666666666E-2</v>
      </c>
      <c r="P18" s="1">
        <f ca="1">IFERROR(__xludf.DUMMYFUNCTION("""COMPUTED_VALUE"""),16)</f>
        <v>16</v>
      </c>
      <c r="Q18" s="1" t="str">
        <f ca="1">IFERROR(__xludf.DUMMYFUNCTION("""COMPUTED_VALUE"""),"Rudy Mayne")</f>
        <v>Rudy Mayne</v>
      </c>
      <c r="R18" s="1" t="str">
        <f ca="1">IFERROR(__xludf.DUMMYFUNCTION("""COMPUTED_VALUE"""),"U17B")</f>
        <v>U17B</v>
      </c>
      <c r="S18" s="1" t="str">
        <f ca="1">IFERROR(__xludf.DUMMYFUNCTION("""COMPUTED_VALUE"""),"Loughview AC")</f>
        <v>Loughview AC</v>
      </c>
      <c r="T18" s="3">
        <f ca="1">IFERROR(__xludf.DUMMYFUNCTION("""COMPUTED_VALUE"""),0.00850694444444444)</f>
        <v>8.5069444444444402E-3</v>
      </c>
      <c r="U18" s="1">
        <f ca="1">IFERROR(__xludf.DUMMYFUNCTION("""COMPUTED_VALUE"""),16)</f>
        <v>16</v>
      </c>
      <c r="V18" s="1" t="str">
        <f ca="1">IFERROR(__xludf.DUMMYFUNCTION("""COMPUTED_VALUE"""),"Oisin Cassidy")</f>
        <v>Oisin Cassidy</v>
      </c>
      <c r="W18" s="1" t="str">
        <f ca="1">IFERROR(__xludf.DUMMYFUNCTION("""COMPUTED_VALUE"""),"MJ")</f>
        <v>MJ</v>
      </c>
      <c r="X18" s="1" t="str">
        <f ca="1">IFERROR(__xludf.DUMMYFUNCTION("""COMPUTED_VALUE"""),"St Michael's Enniskillen")</f>
        <v>St Michael's Enniskillen</v>
      </c>
      <c r="Y18" s="3">
        <f ca="1">IFERROR(__xludf.DUMMYFUNCTION("""COMPUTED_VALUE"""),0.0157407407407407)</f>
        <v>1.5740740740740701E-2</v>
      </c>
      <c r="Z18" s="1">
        <f ca="1">IFERROR(__xludf.DUMMYFUNCTION("""COMPUTED_VALUE"""),16)</f>
        <v>16</v>
      </c>
      <c r="AA18" s="1" t="str">
        <f ca="1">IFERROR(__xludf.DUMMYFUNCTION("""COMPUTED_VALUE"""),"Emily Murphy")</f>
        <v>Emily Murphy</v>
      </c>
      <c r="AB18" s="1" t="str">
        <f ca="1">IFERROR(__xludf.DUMMYFUNCTION("""COMPUTED_VALUE"""),"Mallusk Harriers")</f>
        <v>Mallusk Harriers</v>
      </c>
      <c r="AC18" s="3">
        <f ca="1">IFERROR(__xludf.DUMMYFUNCTION("""COMPUTED_VALUE"""),0.00502314814814814)</f>
        <v>5.0231481481481403E-3</v>
      </c>
      <c r="AD18" s="1">
        <f ca="1">IFERROR(__xludf.DUMMYFUNCTION("""COMPUTED_VALUE"""),16)</f>
        <v>16</v>
      </c>
      <c r="AE18" s="1" t="str">
        <f ca="1">IFERROR(__xludf.DUMMYFUNCTION("""COMPUTED_VALUE"""),"Pauric Fegan")</f>
        <v>Pauric Fegan</v>
      </c>
      <c r="AF18" s="1" t="str">
        <f ca="1">IFERROR(__xludf.DUMMYFUNCTION("""COMPUTED_VALUE"""),"Armagh AC")</f>
        <v>Armagh AC</v>
      </c>
      <c r="AG18" s="3">
        <f ca="1">IFERROR(__xludf.DUMMYFUNCTION("""COMPUTED_VALUE"""),0.00443287037037037)</f>
        <v>4.43287037037037E-3</v>
      </c>
      <c r="AH18" s="1" t="str">
        <f ca="1">IFERROR(__xludf.DUMMYFUNCTION("""COMPUTED_VALUE""")," ")</f>
        <v xml:space="preserve"> </v>
      </c>
      <c r="AI18" s="1" t="str">
        <f ca="1">IFERROR(__xludf.DUMMYFUNCTION("""COMPUTED_VALUE""")," ")</f>
        <v xml:space="preserve"> </v>
      </c>
      <c r="AJ18" s="1" t="str">
        <f ca="1">IFERROR(__xludf.DUMMYFUNCTION("""COMPUTED_VALUE""")," ")</f>
        <v xml:space="preserve"> </v>
      </c>
      <c r="AK18" s="1" t="str">
        <f ca="1">IFERROR(__xludf.DUMMYFUNCTION("""COMPUTED_VALUE""")," ")</f>
        <v xml:space="preserve"> </v>
      </c>
      <c r="AL18" s="1" t="str">
        <f ca="1">IFERROR(__xludf.DUMMYFUNCTION("""COMPUTED_VALUE""")," ")</f>
        <v xml:space="preserve"> </v>
      </c>
      <c r="AM18" s="1" t="str">
        <f ca="1">IFERROR(__xludf.DUMMYFUNCTION("""COMPUTED_VALUE""")," ")</f>
        <v xml:space="preserve"> </v>
      </c>
      <c r="AN18" s="1" t="str">
        <f ca="1">IFERROR(__xludf.DUMMYFUNCTION("""COMPUTED_VALUE""")," ")</f>
        <v xml:space="preserve"> </v>
      </c>
      <c r="AO18" s="1">
        <f ca="1">IFERROR(__xludf.DUMMYFUNCTION("""COMPUTED_VALUE"""),16)</f>
        <v>16</v>
      </c>
      <c r="AP18" s="1" t="str">
        <f ca="1">IFERROR(__xludf.DUMMYFUNCTION("""COMPUTED_VALUE"""),"Anna O'Kane")</f>
        <v>Anna O'Kane</v>
      </c>
      <c r="AQ18" s="1" t="str">
        <f ca="1">IFERROR(__xludf.DUMMYFUNCTION("""COMPUTED_VALUE"""),"Beechmount Harriers")</f>
        <v>Beechmount Harriers</v>
      </c>
      <c r="AR18" s="3">
        <f ca="1">IFERROR(__xludf.DUMMYFUNCTION("""COMPUTED_VALUE"""),0.0112268518518518)</f>
        <v>1.12268518518518E-2</v>
      </c>
      <c r="AS18" s="1">
        <f ca="1">IFERROR(__xludf.DUMMYFUNCTION("""COMPUTED_VALUE"""),16)</f>
        <v>16</v>
      </c>
      <c r="AT18" s="1" t="str">
        <f ca="1">IFERROR(__xludf.DUMMYFUNCTION("""COMPUTED_VALUE"""),"Mannix Moore")</f>
        <v>Mannix Moore</v>
      </c>
      <c r="AU18" s="1" t="str">
        <f ca="1">IFERROR(__xludf.DUMMYFUNCTION("""COMPUTED_VALUE"""),"St Michael's Enniskillen")</f>
        <v>St Michael's Enniskillen</v>
      </c>
      <c r="AV18" s="3">
        <f ca="1">IFERROR(__xludf.DUMMYFUNCTION("""COMPUTED_VALUE"""),0.00951388888888889)</f>
        <v>9.5138888888888894E-3</v>
      </c>
      <c r="AW18" s="1" t="str">
        <f ca="1">IFERROR(__xludf.DUMMYFUNCTION("""COMPUTED_VALUE""")," ")</f>
        <v xml:space="preserve"> </v>
      </c>
      <c r="AX18" s="1" t="str">
        <f ca="1">IFERROR(__xludf.DUMMYFUNCTION("""COMPUTED_VALUE""")," ")</f>
        <v xml:space="preserve"> </v>
      </c>
      <c r="AY18" s="1" t="str">
        <f ca="1">IFERROR(__xludf.DUMMYFUNCTION("""COMPUTED_VALUE""")," ")</f>
        <v xml:space="preserve"> </v>
      </c>
      <c r="AZ18" s="1" t="str">
        <f ca="1">IFERROR(__xludf.DUMMYFUNCTION("""COMPUTED_VALUE""")," ")</f>
        <v xml:space="preserve"> </v>
      </c>
      <c r="BA18" s="1">
        <f ca="1">IFERROR(__xludf.DUMMYFUNCTION("""COMPUTED_VALUE"""),16)</f>
        <v>16</v>
      </c>
      <c r="BB18" s="1" t="str">
        <f ca="1">IFERROR(__xludf.DUMMYFUNCTION("""COMPUTED_VALUE"""),"Adam Cox")</f>
        <v>Adam Cox</v>
      </c>
      <c r="BC18" s="1" t="str">
        <f ca="1">IFERROR(__xludf.DUMMYFUNCTION("""COMPUTED_VALUE"""),"St Michael's Enniskillen")</f>
        <v>St Michael's Enniskillen</v>
      </c>
      <c r="BD18" s="3">
        <f ca="1">IFERROR(__xludf.DUMMYFUNCTION("""COMPUTED_VALUE"""),0.00900462962962963)</f>
        <v>9.0046296296296298E-3</v>
      </c>
      <c r="BE18" s="1" t="str">
        <f ca="1">IFERROR(__xludf.DUMMYFUNCTION("""COMPUTED_VALUE"""),"M55")</f>
        <v>M55</v>
      </c>
      <c r="BF18" s="1"/>
      <c r="BG18" s="1"/>
      <c r="BH18" s="1">
        <f ca="1">IFERROR(__xludf.DUMMYFUNCTION("""COMPUTED_VALUE"""),1)</f>
        <v>1</v>
      </c>
      <c r="BI18" s="1" t="str">
        <f ca="1">IFERROR(__xludf.DUMMYFUNCTION("""COMPUTED_VALUE"""),"Mary Slocum")</f>
        <v>Mary Slocum</v>
      </c>
      <c r="BJ18" s="1" t="str">
        <f ca="1">IFERROR(__xludf.DUMMYFUNCTION("""COMPUTED_VALUE"""),"Wardparkrunners")</f>
        <v>Wardparkrunners</v>
      </c>
    </row>
    <row r="19" spans="1:62" x14ac:dyDescent="0.25">
      <c r="A19" s="1">
        <f ca="1">IFERROR(__xludf.DUMMYFUNCTION("""COMPUTED_VALUE"""),17)</f>
        <v>17</v>
      </c>
      <c r="B19" s="1" t="str">
        <f ca="1">IFERROR(__xludf.DUMMYFUNCTION("""COMPUTED_VALUE"""),"John Neill")</f>
        <v>John Neill</v>
      </c>
      <c r="C19" s="1" t="str">
        <f ca="1">IFERROR(__xludf.DUMMYFUNCTION("""COMPUTED_VALUE"""),"M45")</f>
        <v>M45</v>
      </c>
      <c r="D19" s="1" t="str">
        <f ca="1">IFERROR(__xludf.DUMMYFUNCTION("""COMPUTED_VALUE"""),"East Antrim Harriers")</f>
        <v>East Antrim Harriers</v>
      </c>
      <c r="E19" s="3">
        <f ca="1">IFERROR(__xludf.DUMMYFUNCTION("""COMPUTED_VALUE"""),0.012511574074074)</f>
        <v>1.2511574074074E-2</v>
      </c>
      <c r="F19" s="1">
        <f ca="1">IFERROR(__xludf.DUMMYFUNCTION("""COMPUTED_VALUE"""),17)</f>
        <v>17</v>
      </c>
      <c r="G19" s="1" t="str">
        <f ca="1">IFERROR(__xludf.DUMMYFUNCTION("""COMPUTED_VALUE"""),"Alex Reid")</f>
        <v>Alex Reid</v>
      </c>
      <c r="H19" s="1" t="str">
        <f ca="1">IFERROR(__xludf.DUMMYFUNCTION("""COMPUTED_VALUE"""),"U13B")</f>
        <v>U13B</v>
      </c>
      <c r="I19" s="1" t="str">
        <f ca="1">IFERROR(__xludf.DUMMYFUNCTION("""COMPUTED_VALUE"""),"North Belfast Harriers")</f>
        <v>North Belfast Harriers</v>
      </c>
      <c r="J19" s="3">
        <f ca="1">IFERROR(__xludf.DUMMYFUNCTION("""COMPUTED_VALUE"""),0.00440972222222222)</f>
        <v>4.4097222222222203E-3</v>
      </c>
      <c r="K19" s="1">
        <f ca="1">IFERROR(__xludf.DUMMYFUNCTION("""COMPUTED_VALUE"""),17)</f>
        <v>17</v>
      </c>
      <c r="L19" s="1" t="str">
        <f ca="1">IFERROR(__xludf.DUMMYFUNCTION("""COMPUTED_VALUE"""),"Clair Quigley")</f>
        <v>Clair Quigley</v>
      </c>
      <c r="M19" s="1" t="str">
        <f ca="1">IFERROR(__xludf.DUMMYFUNCTION("""COMPUTED_VALUE"""),"F40")</f>
        <v>F40</v>
      </c>
      <c r="N19" s="1" t="str">
        <f ca="1">IFERROR(__xludf.DUMMYFUNCTION("""COMPUTED_VALUE"""),"North Down AC")</f>
        <v>North Down AC</v>
      </c>
      <c r="O19" s="3">
        <f ca="1">IFERROR(__xludf.DUMMYFUNCTION("""COMPUTED_VALUE"""),0.0142129629629629)</f>
        <v>1.42129629629629E-2</v>
      </c>
      <c r="P19" s="1">
        <f ca="1">IFERROR(__xludf.DUMMYFUNCTION("""COMPUTED_VALUE"""),17)</f>
        <v>17</v>
      </c>
      <c r="Q19" s="1" t="str">
        <f ca="1">IFERROR(__xludf.DUMMYFUNCTION("""COMPUTED_VALUE"""),"Alice Monaghan")</f>
        <v>Alice Monaghan</v>
      </c>
      <c r="R19" s="1" t="str">
        <f ca="1">IFERROR(__xludf.DUMMYFUNCTION("""COMPUTED_VALUE"""),"U17G")</f>
        <v>U17G</v>
      </c>
      <c r="S19" s="1" t="str">
        <f ca="1">IFERROR(__xludf.DUMMYFUNCTION("""COMPUTED_VALUE"""),"Lagan Valley AC")</f>
        <v>Lagan Valley AC</v>
      </c>
      <c r="T19" s="3">
        <f ca="1">IFERROR(__xludf.DUMMYFUNCTION("""COMPUTED_VALUE"""),0.00853009259259259)</f>
        <v>8.5300925925925909E-3</v>
      </c>
      <c r="U19" s="1">
        <f ca="1">IFERROR(__xludf.DUMMYFUNCTION("""COMPUTED_VALUE"""),17)</f>
        <v>17</v>
      </c>
      <c r="V19" s="1" t="str">
        <f ca="1">IFERROR(__xludf.DUMMYFUNCTION("""COMPUTED_VALUE"""),"Michael McKillop")</f>
        <v>Michael McKillop</v>
      </c>
      <c r="W19" s="1" t="str">
        <f ca="1">IFERROR(__xludf.DUMMYFUNCTION("""COMPUTED_VALUE"""),"MO")</f>
        <v>MO</v>
      </c>
      <c r="X19" s="1" t="str">
        <f ca="1">IFERROR(__xludf.DUMMYFUNCTION("""COMPUTED_VALUE"""),"North Belfast Harriers")</f>
        <v>North Belfast Harriers</v>
      </c>
      <c r="Y19" s="3">
        <f ca="1">IFERROR(__xludf.DUMMYFUNCTION("""COMPUTED_VALUE"""),0.0157754629629629)</f>
        <v>1.5775462962962901E-2</v>
      </c>
      <c r="Z19" s="1">
        <f ca="1">IFERROR(__xludf.DUMMYFUNCTION("""COMPUTED_VALUE"""),17)</f>
        <v>17</v>
      </c>
      <c r="AA19" s="1" t="str">
        <f ca="1">IFERROR(__xludf.DUMMYFUNCTION("""COMPUTED_VALUE"""),"Meabh Smith")</f>
        <v>Meabh Smith</v>
      </c>
      <c r="AB19" s="1" t="str">
        <f ca="1">IFERROR(__xludf.DUMMYFUNCTION("""COMPUTED_VALUE"""),"Ballymena and Antrim AC")</f>
        <v>Ballymena and Antrim AC</v>
      </c>
      <c r="AC19" s="3">
        <f ca="1">IFERROR(__xludf.DUMMYFUNCTION("""COMPUTED_VALUE"""),0.00511574074074074)</f>
        <v>5.1157407407407401E-3</v>
      </c>
      <c r="AD19" s="1">
        <f ca="1">IFERROR(__xludf.DUMMYFUNCTION("""COMPUTED_VALUE"""),17)</f>
        <v>17</v>
      </c>
      <c r="AE19" s="1" t="str">
        <f ca="1">IFERROR(__xludf.DUMMYFUNCTION("""COMPUTED_VALUE"""),"Benjamin Challis")</f>
        <v>Benjamin Challis</v>
      </c>
      <c r="AF19" s="1" t="str">
        <f ca="1">IFERROR(__xludf.DUMMYFUNCTION("""COMPUTED_VALUE"""),"Willowfield Harriers")</f>
        <v>Willowfield Harriers</v>
      </c>
      <c r="AG19" s="3">
        <f ca="1">IFERROR(__xludf.DUMMYFUNCTION("""COMPUTED_VALUE"""),0.00444444444444444)</f>
        <v>4.4444444444444401E-3</v>
      </c>
      <c r="AH19" s="1" t="str">
        <f ca="1">IFERROR(__xludf.DUMMYFUNCTION("""COMPUTED_VALUE""")," ")</f>
        <v xml:space="preserve"> </v>
      </c>
      <c r="AI19" s="1" t="str">
        <f ca="1">IFERROR(__xludf.DUMMYFUNCTION("""COMPUTED_VALUE""")," ")</f>
        <v xml:space="preserve"> </v>
      </c>
      <c r="AJ19" s="1" t="str">
        <f ca="1">IFERROR(__xludf.DUMMYFUNCTION("""COMPUTED_VALUE""")," ")</f>
        <v xml:space="preserve"> </v>
      </c>
      <c r="AK19" s="1" t="str">
        <f ca="1">IFERROR(__xludf.DUMMYFUNCTION("""COMPUTED_VALUE""")," ")</f>
        <v xml:space="preserve"> </v>
      </c>
      <c r="AL19" s="1" t="str">
        <f ca="1">IFERROR(__xludf.DUMMYFUNCTION("""COMPUTED_VALUE""")," ")</f>
        <v xml:space="preserve"> </v>
      </c>
      <c r="AM19" s="1" t="str">
        <f ca="1">IFERROR(__xludf.DUMMYFUNCTION("""COMPUTED_VALUE""")," ")</f>
        <v xml:space="preserve"> </v>
      </c>
      <c r="AN19" s="1" t="str">
        <f ca="1">IFERROR(__xludf.DUMMYFUNCTION("""COMPUTED_VALUE""")," ")</f>
        <v xml:space="preserve"> </v>
      </c>
      <c r="AO19" s="1">
        <f ca="1">IFERROR(__xludf.DUMMYFUNCTION("""COMPUTED_VALUE"""),17)</f>
        <v>17</v>
      </c>
      <c r="AP19" s="1" t="str">
        <f ca="1">IFERROR(__xludf.DUMMYFUNCTION("""COMPUTED_VALUE"""),"Rebekah Wilson")</f>
        <v>Rebekah Wilson</v>
      </c>
      <c r="AQ19" s="1" t="str">
        <f ca="1">IFERROR(__xludf.DUMMYFUNCTION("""COMPUTED_VALUE"""),"East Down AC")</f>
        <v>East Down AC</v>
      </c>
      <c r="AR19" s="3">
        <f ca="1">IFERROR(__xludf.DUMMYFUNCTION("""COMPUTED_VALUE"""),0.0116782407407407)</f>
        <v>1.1678240740740699E-2</v>
      </c>
      <c r="AS19" s="1">
        <f ca="1">IFERROR(__xludf.DUMMYFUNCTION("""COMPUTED_VALUE"""),17)</f>
        <v>17</v>
      </c>
      <c r="AT19" s="1" t="str">
        <f ca="1">IFERROR(__xludf.DUMMYFUNCTION("""COMPUTED_VALUE"""),"Ronan Gilbride")</f>
        <v>Ronan Gilbride</v>
      </c>
      <c r="AU19" s="1" t="str">
        <f ca="1">IFERROR(__xludf.DUMMYFUNCTION("""COMPUTED_VALUE"""),"St Michael's Enniskillen")</f>
        <v>St Michael's Enniskillen</v>
      </c>
      <c r="AV19" s="3">
        <f ca="1">IFERROR(__xludf.DUMMYFUNCTION("""COMPUTED_VALUE"""),0.00952546296296296)</f>
        <v>9.5254629629629595E-3</v>
      </c>
      <c r="AW19" s="1"/>
      <c r="AX19" s="1"/>
      <c r="AY19" s="1"/>
      <c r="AZ19" s="1"/>
      <c r="BA19" s="1">
        <f ca="1">IFERROR(__xludf.DUMMYFUNCTION("""COMPUTED_VALUE"""),17)</f>
        <v>17</v>
      </c>
      <c r="BB19" s="1" t="str">
        <f ca="1">IFERROR(__xludf.DUMMYFUNCTION("""COMPUTED_VALUE"""),"Caide McLaren")</f>
        <v>Caide McLaren</v>
      </c>
      <c r="BC19" s="1" t="str">
        <f ca="1">IFERROR(__xludf.DUMMYFUNCTION("""COMPUTED_VALUE"""),"Lagan Valley AC")</f>
        <v>Lagan Valley AC</v>
      </c>
      <c r="BD19" s="3">
        <f ca="1">IFERROR(__xludf.DUMMYFUNCTION("""COMPUTED_VALUE"""),0.00912037037037037)</f>
        <v>9.1203703703703707E-3</v>
      </c>
      <c r="BE19" s="1">
        <f ca="1">IFERROR(__xludf.DUMMYFUNCTION("""COMPUTED_VALUE"""),1)</f>
        <v>1</v>
      </c>
      <c r="BF19" s="1" t="str">
        <f ca="1">IFERROR(__xludf.DUMMYFUNCTION("""COMPUTED_VALUE"""),"Vincent McCaffrey")</f>
        <v>Vincent McCaffrey</v>
      </c>
      <c r="BG19" s="1" t="str">
        <f ca="1">IFERROR(__xludf.DUMMYFUNCTION("""COMPUTED_VALUE"""),"PACE Running Club")</f>
        <v>PACE Running Club</v>
      </c>
      <c r="BH19" s="1">
        <f ca="1">IFERROR(__xludf.DUMMYFUNCTION("""COMPUTED_VALUE"""),2)</f>
        <v>2</v>
      </c>
      <c r="BI19" s="1" t="str">
        <f ca="1">IFERROR(__xludf.DUMMYFUNCTION("""COMPUTED_VALUE"""),"Shileen O'Kane")</f>
        <v>Shileen O'Kane</v>
      </c>
      <c r="BJ19" s="1" t="str">
        <f ca="1">IFERROR(__xludf.DUMMYFUNCTION("""COMPUTED_VALUE"""),"Lagan Valley AC")</f>
        <v>Lagan Valley AC</v>
      </c>
    </row>
    <row r="20" spans="1:62" x14ac:dyDescent="0.25">
      <c r="A20" s="1">
        <f ca="1">IFERROR(__xludf.DUMMYFUNCTION("""COMPUTED_VALUE"""),18)</f>
        <v>18</v>
      </c>
      <c r="B20" s="1" t="str">
        <f ca="1">IFERROR(__xludf.DUMMYFUNCTION("""COMPUTED_VALUE"""),"Ricky McKnight")</f>
        <v>Ricky McKnight</v>
      </c>
      <c r="C20" s="1" t="str">
        <f ca="1">IFERROR(__xludf.DUMMYFUNCTION("""COMPUTED_VALUE"""),"M40")</f>
        <v>M40</v>
      </c>
      <c r="D20" s="1" t="str">
        <f ca="1">IFERROR(__xludf.DUMMYFUNCTION("""COMPUTED_VALUE"""),"PACE Running Club")</f>
        <v>PACE Running Club</v>
      </c>
      <c r="E20" s="3">
        <f ca="1">IFERROR(__xludf.DUMMYFUNCTION("""COMPUTED_VALUE"""),0.0125347222222222)</f>
        <v>1.2534722222222201E-2</v>
      </c>
      <c r="F20" s="1">
        <f ca="1">IFERROR(__xludf.DUMMYFUNCTION("""COMPUTED_VALUE"""),18)</f>
        <v>18</v>
      </c>
      <c r="G20" s="1" t="str">
        <f ca="1">IFERROR(__xludf.DUMMYFUNCTION("""COMPUTED_VALUE"""),"Adam Forster")</f>
        <v>Adam Forster</v>
      </c>
      <c r="H20" s="1" t="str">
        <f ca="1">IFERROR(__xludf.DUMMYFUNCTION("""COMPUTED_VALUE"""),"U13B")</f>
        <v>U13B</v>
      </c>
      <c r="I20" s="1" t="str">
        <f ca="1">IFERROR(__xludf.DUMMYFUNCTION("""COMPUTED_VALUE"""),"St Michael's Enniskillen")</f>
        <v>St Michael's Enniskillen</v>
      </c>
      <c r="J20" s="3">
        <f ca="1">IFERROR(__xludf.DUMMYFUNCTION("""COMPUTED_VALUE"""),0.00442129629629629)</f>
        <v>4.4212962962962904E-3</v>
      </c>
      <c r="K20" s="1">
        <f ca="1">IFERROR(__xludf.DUMMYFUNCTION("""COMPUTED_VALUE"""),18)</f>
        <v>18</v>
      </c>
      <c r="L20" s="1" t="str">
        <f ca="1">IFERROR(__xludf.DUMMYFUNCTION("""COMPUTED_VALUE"""),"Karen Wilton")</f>
        <v>Karen Wilton</v>
      </c>
      <c r="M20" s="1" t="str">
        <f ca="1">IFERROR(__xludf.DUMMYFUNCTION("""COMPUTED_VALUE"""),"F45")</f>
        <v>F45</v>
      </c>
      <c r="N20" s="1" t="str">
        <f ca="1">IFERROR(__xludf.DUMMYFUNCTION("""COMPUTED_VALUE"""),"Jog Lisburn Running Club")</f>
        <v>Jog Lisburn Running Club</v>
      </c>
      <c r="O20" s="3">
        <f ca="1">IFERROR(__xludf.DUMMYFUNCTION("""COMPUTED_VALUE"""),0.0142361111111111)</f>
        <v>1.42361111111111E-2</v>
      </c>
      <c r="P20" s="1">
        <f ca="1">IFERROR(__xludf.DUMMYFUNCTION("""COMPUTED_VALUE"""),18)</f>
        <v>18</v>
      </c>
      <c r="Q20" s="1" t="str">
        <f ca="1">IFERROR(__xludf.DUMMYFUNCTION("""COMPUTED_VALUE"""),"Jacob Crawford")</f>
        <v>Jacob Crawford</v>
      </c>
      <c r="R20" s="1" t="str">
        <f ca="1">IFERROR(__xludf.DUMMYFUNCTION("""COMPUTED_VALUE"""),"U17B")</f>
        <v>U17B</v>
      </c>
      <c r="S20" s="1" t="str">
        <f ca="1">IFERROR(__xludf.DUMMYFUNCTION("""COMPUTED_VALUE"""),"East Down AC")</f>
        <v>East Down AC</v>
      </c>
      <c r="T20" s="3">
        <f ca="1">IFERROR(__xludf.DUMMYFUNCTION("""COMPUTED_VALUE"""),0.00854166666666666)</f>
        <v>8.5416666666666592E-3</v>
      </c>
      <c r="U20" s="1">
        <f ca="1">IFERROR(__xludf.DUMMYFUNCTION("""COMPUTED_VALUE"""),18)</f>
        <v>18</v>
      </c>
      <c r="V20" s="1" t="str">
        <f ca="1">IFERROR(__xludf.DUMMYFUNCTION("""COMPUTED_VALUE"""),"James Budde")</f>
        <v>James Budde</v>
      </c>
      <c r="W20" s="1" t="str">
        <f ca="1">IFERROR(__xludf.DUMMYFUNCTION("""COMPUTED_VALUE"""),"M40")</f>
        <v>M40</v>
      </c>
      <c r="X20" s="1" t="str">
        <f ca="1">IFERROR(__xludf.DUMMYFUNCTION("""COMPUTED_VALUE"""),"North Down AC")</f>
        <v>North Down AC</v>
      </c>
      <c r="Y20" s="3">
        <f ca="1">IFERROR(__xludf.DUMMYFUNCTION("""COMPUTED_VALUE"""),0.0158449074074074)</f>
        <v>1.5844907407407401E-2</v>
      </c>
      <c r="Z20" s="1">
        <f ca="1">IFERROR(__xludf.DUMMYFUNCTION("""COMPUTED_VALUE"""),18)</f>
        <v>18</v>
      </c>
      <c r="AA20" s="1" t="str">
        <f ca="1">IFERROR(__xludf.DUMMYFUNCTION("""COMPUTED_VALUE"""),"Holly Scott")</f>
        <v>Holly Scott</v>
      </c>
      <c r="AB20" s="1" t="str">
        <f ca="1">IFERROR(__xludf.DUMMYFUNCTION("""COMPUTED_VALUE"""),"Scrabo Striders")</f>
        <v>Scrabo Striders</v>
      </c>
      <c r="AC20" s="3">
        <f ca="1">IFERROR(__xludf.DUMMYFUNCTION("""COMPUTED_VALUE"""),0.00528935185185185)</f>
        <v>5.2893518518518498E-3</v>
      </c>
      <c r="AD20" s="1">
        <f ca="1">IFERROR(__xludf.DUMMYFUNCTION("""COMPUTED_VALUE"""),18)</f>
        <v>18</v>
      </c>
      <c r="AE20" s="1" t="str">
        <f ca="1">IFERROR(__xludf.DUMMYFUNCTION("""COMPUTED_VALUE"""),"Ollie Hanna")</f>
        <v>Ollie Hanna</v>
      </c>
      <c r="AF20" s="1" t="str">
        <f ca="1">IFERROR(__xludf.DUMMYFUNCTION("""COMPUTED_VALUE"""),"Loughview AC")</f>
        <v>Loughview AC</v>
      </c>
      <c r="AG20" s="3">
        <f ca="1">IFERROR(__xludf.DUMMYFUNCTION("""COMPUTED_VALUE"""),0.00446759259259259)</f>
        <v>4.4675925925925898E-3</v>
      </c>
      <c r="AH20" s="1" t="str">
        <f ca="1">IFERROR(__xludf.DUMMYFUNCTION("""COMPUTED_VALUE""")," ")</f>
        <v xml:space="preserve"> </v>
      </c>
      <c r="AI20" s="1" t="str">
        <f ca="1">IFERROR(__xludf.DUMMYFUNCTION("""COMPUTED_VALUE""")," ")</f>
        <v xml:space="preserve"> </v>
      </c>
      <c r="AJ20" s="1" t="str">
        <f ca="1">IFERROR(__xludf.DUMMYFUNCTION("""COMPUTED_VALUE""")," ")</f>
        <v xml:space="preserve"> </v>
      </c>
      <c r="AK20" s="1" t="str">
        <f ca="1">IFERROR(__xludf.DUMMYFUNCTION("""COMPUTED_VALUE""")," ")</f>
        <v xml:space="preserve"> </v>
      </c>
      <c r="AL20" s="1" t="str">
        <f ca="1">IFERROR(__xludf.DUMMYFUNCTION("""COMPUTED_VALUE""")," ")</f>
        <v xml:space="preserve"> </v>
      </c>
      <c r="AM20" s="1" t="str">
        <f ca="1">IFERROR(__xludf.DUMMYFUNCTION("""COMPUTED_VALUE""")," ")</f>
        <v xml:space="preserve"> </v>
      </c>
      <c r="AN20" s="1" t="str">
        <f ca="1">IFERROR(__xludf.DUMMYFUNCTION("""COMPUTED_VALUE""")," ")</f>
        <v xml:space="preserve"> </v>
      </c>
      <c r="AO20" s="1">
        <f ca="1">IFERROR(__xludf.DUMMYFUNCTION("""COMPUTED_VALUE"""),18)</f>
        <v>18</v>
      </c>
      <c r="AP20" s="1" t="str">
        <f ca="1">IFERROR(__xludf.DUMMYFUNCTION("""COMPUTED_VALUE"""),"Hannah Milligan")</f>
        <v>Hannah Milligan</v>
      </c>
      <c r="AQ20" s="1" t="str">
        <f ca="1">IFERROR(__xludf.DUMMYFUNCTION("""COMPUTED_VALUE"""),"Lagan Valley AC")</f>
        <v>Lagan Valley AC</v>
      </c>
      <c r="AR20" s="3">
        <f ca="1">IFERROR(__xludf.DUMMYFUNCTION("""COMPUTED_VALUE"""),0.0117013888888888)</f>
        <v>1.1701388888888799E-2</v>
      </c>
      <c r="AS20" s="1">
        <f ca="1">IFERROR(__xludf.DUMMYFUNCTION("""COMPUTED_VALUE"""),18)</f>
        <v>18</v>
      </c>
      <c r="AT20" s="1" t="str">
        <f ca="1">IFERROR(__xludf.DUMMYFUNCTION("""COMPUTED_VALUE"""),"Lorcan Hanna")</f>
        <v>Lorcan Hanna</v>
      </c>
      <c r="AU20" s="1" t="str">
        <f ca="1">IFERROR(__xludf.DUMMYFUNCTION("""COMPUTED_VALUE"""),"St Michael's Enniskillen")</f>
        <v>St Michael's Enniskillen</v>
      </c>
      <c r="AV20" s="3">
        <f ca="1">IFERROR(__xludf.DUMMYFUNCTION("""COMPUTED_VALUE"""),0.00957175925925925)</f>
        <v>9.5717592592592503E-3</v>
      </c>
      <c r="AW20" s="1"/>
      <c r="AX20" s="1"/>
      <c r="AY20" s="1"/>
      <c r="AZ20" s="1"/>
      <c r="BA20" s="1">
        <f ca="1">IFERROR(__xludf.DUMMYFUNCTION("""COMPUTED_VALUE"""),18)</f>
        <v>18</v>
      </c>
      <c r="BB20" s="1" t="str">
        <f ca="1">IFERROR(__xludf.DUMMYFUNCTION("""COMPUTED_VALUE"""),"Cillian Whitford")</f>
        <v>Cillian Whitford</v>
      </c>
      <c r="BC20" s="1" t="str">
        <f ca="1">IFERROR(__xludf.DUMMYFUNCTION("""COMPUTED_VALUE"""),"St Michael's Enniskillen")</f>
        <v>St Michael's Enniskillen</v>
      </c>
      <c r="BD20" s="3">
        <f ca="1">IFERROR(__xludf.DUMMYFUNCTION("""COMPUTED_VALUE"""),0.00925925925925925)</f>
        <v>9.2592592592592501E-3</v>
      </c>
      <c r="BE20" s="1"/>
      <c r="BF20" s="1"/>
      <c r="BG20" s="1"/>
      <c r="BH20" s="1"/>
      <c r="BI20" s="1"/>
      <c r="BJ20" s="1"/>
    </row>
    <row r="21" spans="1:62" x14ac:dyDescent="0.25">
      <c r="A21" s="1">
        <f ca="1">IFERROR(__xludf.DUMMYFUNCTION("""COMPUTED_VALUE"""),19)</f>
        <v>19</v>
      </c>
      <c r="B21" s="1" t="str">
        <f ca="1">IFERROR(__xludf.DUMMYFUNCTION("""COMPUTED_VALUE"""),"Nick Irvine")</f>
        <v>Nick Irvine</v>
      </c>
      <c r="C21" s="1" t="str">
        <f ca="1">IFERROR(__xludf.DUMMYFUNCTION("""COMPUTED_VALUE"""),"M40")</f>
        <v>M40</v>
      </c>
      <c r="D21" s="1" t="str">
        <f ca="1">IFERROR(__xludf.DUMMYFUNCTION("""COMPUTED_VALUE"""),"North Down AC")</f>
        <v>North Down AC</v>
      </c>
      <c r="E21" s="3">
        <f ca="1">IFERROR(__xludf.DUMMYFUNCTION("""COMPUTED_VALUE"""),0.0125462962962962)</f>
        <v>1.25462962962962E-2</v>
      </c>
      <c r="F21" s="1">
        <f ca="1">IFERROR(__xludf.DUMMYFUNCTION("""COMPUTED_VALUE"""),19)</f>
        <v>19</v>
      </c>
      <c r="G21" s="1" t="str">
        <f ca="1">IFERROR(__xludf.DUMMYFUNCTION("""COMPUTED_VALUE"""),"Pauric Fegan")</f>
        <v>Pauric Fegan</v>
      </c>
      <c r="H21" s="1" t="str">
        <f ca="1">IFERROR(__xludf.DUMMYFUNCTION("""COMPUTED_VALUE"""),"U13B")</f>
        <v>U13B</v>
      </c>
      <c r="I21" s="1" t="str">
        <f ca="1">IFERROR(__xludf.DUMMYFUNCTION("""COMPUTED_VALUE"""),"Armagh AC")</f>
        <v>Armagh AC</v>
      </c>
      <c r="J21" s="3">
        <f ca="1">IFERROR(__xludf.DUMMYFUNCTION("""COMPUTED_VALUE"""),0.00443287037037037)</f>
        <v>4.43287037037037E-3</v>
      </c>
      <c r="K21" s="1">
        <f ca="1">IFERROR(__xludf.DUMMYFUNCTION("""COMPUTED_VALUE"""),19)</f>
        <v>19</v>
      </c>
      <c r="L21" s="1" t="str">
        <f ca="1">IFERROR(__xludf.DUMMYFUNCTION("""COMPUTED_VALUE"""),"Mari Higgins")</f>
        <v>Mari Higgins</v>
      </c>
      <c r="M21" s="1" t="str">
        <f ca="1">IFERROR(__xludf.DUMMYFUNCTION("""COMPUTED_VALUE"""),"F35")</f>
        <v>F35</v>
      </c>
      <c r="N21" s="1" t="str">
        <f ca="1">IFERROR(__xludf.DUMMYFUNCTION("""COMPUTED_VALUE"""),"Newcastle &amp; District AC")</f>
        <v>Newcastle &amp; District AC</v>
      </c>
      <c r="O21" s="3">
        <f ca="1">IFERROR(__xludf.DUMMYFUNCTION("""COMPUTED_VALUE"""),0.0143981481481481)</f>
        <v>1.4398148148148099E-2</v>
      </c>
      <c r="P21" s="1">
        <f ca="1">IFERROR(__xludf.DUMMYFUNCTION("""COMPUTED_VALUE"""),19)</f>
        <v>19</v>
      </c>
      <c r="Q21" s="1" t="str">
        <f ca="1">IFERROR(__xludf.DUMMYFUNCTION("""COMPUTED_VALUE"""),"Ashton Cusick")</f>
        <v>Ashton Cusick</v>
      </c>
      <c r="R21" s="1" t="str">
        <f ca="1">IFERROR(__xludf.DUMMYFUNCTION("""COMPUTED_VALUE"""),"U15B")</f>
        <v>U15B</v>
      </c>
      <c r="S21" s="1" t="str">
        <f ca="1">IFERROR(__xludf.DUMMYFUNCTION("""COMPUTED_VALUE"""),"City of Lisburn AC")</f>
        <v>City of Lisburn AC</v>
      </c>
      <c r="T21" s="3">
        <f ca="1">IFERROR(__xludf.DUMMYFUNCTION("""COMPUTED_VALUE"""),0.00856481481481481)</f>
        <v>8.5648148148148098E-3</v>
      </c>
      <c r="U21" s="1">
        <f ca="1">IFERROR(__xludf.DUMMYFUNCTION("""COMPUTED_VALUE"""),19)</f>
        <v>19</v>
      </c>
      <c r="V21" s="1" t="str">
        <f ca="1">IFERROR(__xludf.DUMMYFUNCTION("""COMPUTED_VALUE"""),"Lochlainn Connolly")</f>
        <v>Lochlainn Connolly</v>
      </c>
      <c r="W21" s="1" t="str">
        <f ca="1">IFERROR(__xludf.DUMMYFUNCTION("""COMPUTED_VALUE"""),"MO")</f>
        <v>MO</v>
      </c>
      <c r="X21" s="1" t="str">
        <f ca="1">IFERROR(__xludf.DUMMYFUNCTION("""COMPUTED_VALUE"""),"Annadale Striders")</f>
        <v>Annadale Striders</v>
      </c>
      <c r="Y21" s="3">
        <f ca="1">IFERROR(__xludf.DUMMYFUNCTION("""COMPUTED_VALUE"""),0.0159259259259259)</f>
        <v>1.5925925925925899E-2</v>
      </c>
      <c r="Z21" s="1">
        <f ca="1">IFERROR(__xludf.DUMMYFUNCTION("""COMPUTED_VALUE"""),19)</f>
        <v>19</v>
      </c>
      <c r="AA21" s="1" t="str">
        <f ca="1">IFERROR(__xludf.DUMMYFUNCTION("""COMPUTED_VALUE"""),"Willow Farrington")</f>
        <v>Willow Farrington</v>
      </c>
      <c r="AB21" s="1" t="str">
        <f ca="1">IFERROR(__xludf.DUMMYFUNCTION("""COMPUTED_VALUE"""),"Scrabo Striders")</f>
        <v>Scrabo Striders</v>
      </c>
      <c r="AC21" s="3">
        <f ca="1">IFERROR(__xludf.DUMMYFUNCTION("""COMPUTED_VALUE"""),0.00530092592592592)</f>
        <v>5.3009259259259199E-3</v>
      </c>
      <c r="AD21" s="1">
        <f ca="1">IFERROR(__xludf.DUMMYFUNCTION("""COMPUTED_VALUE"""),19)</f>
        <v>19</v>
      </c>
      <c r="AE21" s="1" t="str">
        <f ca="1">IFERROR(__xludf.DUMMYFUNCTION("""COMPUTED_VALUE"""),"Ruarcc Sheridan")</f>
        <v>Ruarcc Sheridan</v>
      </c>
      <c r="AF21" s="1" t="str">
        <f ca="1">IFERROR(__xludf.DUMMYFUNCTION("""COMPUTED_VALUE"""),"North Belfast Harriers")</f>
        <v>North Belfast Harriers</v>
      </c>
      <c r="AG21" s="3">
        <f ca="1">IFERROR(__xludf.DUMMYFUNCTION("""COMPUTED_VALUE"""),0.00451388888888888)</f>
        <v>4.5138888888888798E-3</v>
      </c>
      <c r="AH21" s="1" t="str">
        <f ca="1">IFERROR(__xludf.DUMMYFUNCTION("""COMPUTED_VALUE""")," ")</f>
        <v xml:space="preserve"> </v>
      </c>
      <c r="AI21" s="1" t="str">
        <f ca="1">IFERROR(__xludf.DUMMYFUNCTION("""COMPUTED_VALUE""")," ")</f>
        <v xml:space="preserve"> </v>
      </c>
      <c r="AJ21" s="1" t="str">
        <f ca="1">IFERROR(__xludf.DUMMYFUNCTION("""COMPUTED_VALUE""")," ")</f>
        <v xml:space="preserve"> </v>
      </c>
      <c r="AK21" s="1" t="str">
        <f ca="1">IFERROR(__xludf.DUMMYFUNCTION("""COMPUTED_VALUE""")," ")</f>
        <v xml:space="preserve"> </v>
      </c>
      <c r="AL21" s="1" t="str">
        <f ca="1">IFERROR(__xludf.DUMMYFUNCTION("""COMPUTED_VALUE""")," ")</f>
        <v xml:space="preserve"> </v>
      </c>
      <c r="AM21" s="1" t="str">
        <f ca="1">IFERROR(__xludf.DUMMYFUNCTION("""COMPUTED_VALUE""")," ")</f>
        <v xml:space="preserve"> </v>
      </c>
      <c r="AN21" s="1" t="str">
        <f ca="1">IFERROR(__xludf.DUMMYFUNCTION("""COMPUTED_VALUE""")," ")</f>
        <v xml:space="preserve"> </v>
      </c>
      <c r="AO21" s="1">
        <f ca="1">IFERROR(__xludf.DUMMYFUNCTION("""COMPUTED_VALUE"""),19)</f>
        <v>19</v>
      </c>
      <c r="AP21" s="1" t="str">
        <f ca="1">IFERROR(__xludf.DUMMYFUNCTION("""COMPUTED_VALUE"""),"Erin Olivia Moore")</f>
        <v>Erin Olivia Moore</v>
      </c>
      <c r="AQ21" s="1" t="str">
        <f ca="1">IFERROR(__xludf.DUMMYFUNCTION("""COMPUTED_VALUE"""),"East Down AC")</f>
        <v>East Down AC</v>
      </c>
      <c r="AR21" s="3">
        <f ca="1">IFERROR(__xludf.DUMMYFUNCTION("""COMPUTED_VALUE"""),0.0121527777777777)</f>
        <v>1.21527777777777E-2</v>
      </c>
      <c r="AS21" s="1">
        <f ca="1">IFERROR(__xludf.DUMMYFUNCTION("""COMPUTED_VALUE"""),19)</f>
        <v>19</v>
      </c>
      <c r="AT21" s="1" t="str">
        <f ca="1">IFERROR(__xludf.DUMMYFUNCTION("""COMPUTED_VALUE"""),"Conor Ferguson")</f>
        <v>Conor Ferguson</v>
      </c>
      <c r="AU21" s="1" t="str">
        <f ca="1">IFERROR(__xludf.DUMMYFUNCTION("""COMPUTED_VALUE"""),"St Michael's Enniskillen")</f>
        <v>St Michael's Enniskillen</v>
      </c>
      <c r="AV21" s="3">
        <f ca="1">IFERROR(__xludf.DUMMYFUNCTION("""COMPUTED_VALUE"""),0.00980324074074074)</f>
        <v>9.8032407407407408E-3</v>
      </c>
      <c r="AW21" s="1"/>
      <c r="AX21" s="1"/>
      <c r="AY21" s="1"/>
      <c r="AZ21" s="1"/>
      <c r="BA21" s="1" t="str">
        <f ca="1">IFERROR(__xludf.DUMMYFUNCTION("""COMPUTED_VALUE""")," ")</f>
        <v xml:space="preserve"> </v>
      </c>
      <c r="BB21" s="1" t="str">
        <f ca="1">IFERROR(__xludf.DUMMYFUNCTION("""COMPUTED_VALUE""")," ")</f>
        <v xml:space="preserve"> </v>
      </c>
      <c r="BC21" s="1" t="str">
        <f ca="1">IFERROR(__xludf.DUMMYFUNCTION("""COMPUTED_VALUE""")," ")</f>
        <v xml:space="preserve"> </v>
      </c>
      <c r="BD21" s="1" t="str">
        <f ca="1">IFERROR(__xludf.DUMMYFUNCTION("""COMPUTED_VALUE""")," ")</f>
        <v xml:space="preserve"> </v>
      </c>
      <c r="BE21" s="1" t="str">
        <f ca="1">IFERROR(__xludf.DUMMYFUNCTION("""COMPUTED_VALUE"""),"M60")</f>
        <v>M60</v>
      </c>
      <c r="BF21" s="1"/>
      <c r="BG21" s="1"/>
      <c r="BH21" s="1" t="str">
        <f ca="1">IFERROR(__xludf.DUMMYFUNCTION("""COMPUTED_VALUE"""),"F55")</f>
        <v>F55</v>
      </c>
      <c r="BI21" s="1"/>
      <c r="BJ21" s="1"/>
    </row>
    <row r="22" spans="1:62" x14ac:dyDescent="0.25">
      <c r="A22" s="1">
        <f ca="1">IFERROR(__xludf.DUMMYFUNCTION("""COMPUTED_VALUE"""),20)</f>
        <v>20</v>
      </c>
      <c r="B22" s="1" t="str">
        <f ca="1">IFERROR(__xludf.DUMMYFUNCTION("""COMPUTED_VALUE"""),"Kevin Oboyle")</f>
        <v>Kevin Oboyle</v>
      </c>
      <c r="C22" s="1" t="str">
        <f ca="1">IFERROR(__xludf.DUMMYFUNCTION("""COMPUTED_VALUE"""),"M40")</f>
        <v>M40</v>
      </c>
      <c r="D22" s="1" t="str">
        <f ca="1">IFERROR(__xludf.DUMMYFUNCTION("""COMPUTED_VALUE"""),"Glens Runners")</f>
        <v>Glens Runners</v>
      </c>
      <c r="E22" s="3">
        <f ca="1">IFERROR(__xludf.DUMMYFUNCTION("""COMPUTED_VALUE"""),0.012662037037037)</f>
        <v>1.2662037037036999E-2</v>
      </c>
      <c r="F22" s="1">
        <f ca="1">IFERROR(__xludf.DUMMYFUNCTION("""COMPUTED_VALUE"""),20)</f>
        <v>20</v>
      </c>
      <c r="G22" s="1" t="str">
        <f ca="1">IFERROR(__xludf.DUMMYFUNCTION("""COMPUTED_VALUE"""),"Benjamin Challis")</f>
        <v>Benjamin Challis</v>
      </c>
      <c r="H22" s="1" t="str">
        <f ca="1">IFERROR(__xludf.DUMMYFUNCTION("""COMPUTED_VALUE"""),"U13B")</f>
        <v>U13B</v>
      </c>
      <c r="I22" s="1" t="str">
        <f ca="1">IFERROR(__xludf.DUMMYFUNCTION("""COMPUTED_VALUE"""),"Willowfield Harriers")</f>
        <v>Willowfield Harriers</v>
      </c>
      <c r="J22" s="3">
        <f ca="1">IFERROR(__xludf.DUMMYFUNCTION("""COMPUTED_VALUE"""),0.00444444444444444)</f>
        <v>4.4444444444444401E-3</v>
      </c>
      <c r="K22" s="1">
        <f ca="1">IFERROR(__xludf.DUMMYFUNCTION("""COMPUTED_VALUE"""),20)</f>
        <v>20</v>
      </c>
      <c r="L22" s="1" t="str">
        <f ca="1">IFERROR(__xludf.DUMMYFUNCTION("""COMPUTED_VALUE"""),"Jenny Finlay")</f>
        <v>Jenny Finlay</v>
      </c>
      <c r="M22" s="1" t="str">
        <f ca="1">IFERROR(__xludf.DUMMYFUNCTION("""COMPUTED_VALUE"""),"FO")</f>
        <v>FO</v>
      </c>
      <c r="N22" s="1" t="str">
        <f ca="1">IFERROR(__xludf.DUMMYFUNCTION("""COMPUTED_VALUE"""),"Lagan Valley AC")</f>
        <v>Lagan Valley AC</v>
      </c>
      <c r="O22" s="3">
        <f ca="1">IFERROR(__xludf.DUMMYFUNCTION("""COMPUTED_VALUE"""),0.0144212962962962)</f>
        <v>1.4421296296296199E-2</v>
      </c>
      <c r="P22" s="1">
        <f ca="1">IFERROR(__xludf.DUMMYFUNCTION("""COMPUTED_VALUE"""),20)</f>
        <v>20</v>
      </c>
      <c r="Q22" s="1" t="str">
        <f ca="1">IFERROR(__xludf.DUMMYFUNCTION("""COMPUTED_VALUE"""),"Conall Rasdale")</f>
        <v>Conall Rasdale</v>
      </c>
      <c r="R22" s="1" t="str">
        <f ca="1">IFERROR(__xludf.DUMMYFUNCTION("""COMPUTED_VALUE"""),"U15B")</f>
        <v>U15B</v>
      </c>
      <c r="S22" s="1" t="str">
        <f ca="1">IFERROR(__xludf.DUMMYFUNCTION("""COMPUTED_VALUE"""),"St Michael's Enniskillen")</f>
        <v>St Michael's Enniskillen</v>
      </c>
      <c r="T22" s="3">
        <f ca="1">IFERROR(__xludf.DUMMYFUNCTION("""COMPUTED_VALUE"""),0.00862268518518518)</f>
        <v>8.6226851851851794E-3</v>
      </c>
      <c r="U22" s="1">
        <f ca="1">IFERROR(__xludf.DUMMYFUNCTION("""COMPUTED_VALUE"""),20)</f>
        <v>20</v>
      </c>
      <c r="V22" s="1" t="str">
        <f ca="1">IFERROR(__xludf.DUMMYFUNCTION("""COMPUTED_VALUE"""),"Adrian McGowan")</f>
        <v>Adrian McGowan</v>
      </c>
      <c r="W22" s="1" t="str">
        <f ca="1">IFERROR(__xludf.DUMMYFUNCTION("""COMPUTED_VALUE"""),"MO")</f>
        <v>MO</v>
      </c>
      <c r="X22" s="1" t="str">
        <f ca="1">IFERROR(__xludf.DUMMYFUNCTION("""COMPUTED_VALUE"""),"City of Derry AC Spartans")</f>
        <v>City of Derry AC Spartans</v>
      </c>
      <c r="Y22" s="3">
        <f ca="1">IFERROR(__xludf.DUMMYFUNCTION("""COMPUTED_VALUE"""),0.015949074074074)</f>
        <v>1.5949074074074001E-2</v>
      </c>
      <c r="Z22" s="1">
        <f ca="1">IFERROR(__xludf.DUMMYFUNCTION("""COMPUTED_VALUE"""),20)</f>
        <v>20</v>
      </c>
      <c r="AA22" s="1" t="str">
        <f ca="1">IFERROR(__xludf.DUMMYFUNCTION("""COMPUTED_VALUE"""),"Hollie Norris")</f>
        <v>Hollie Norris</v>
      </c>
      <c r="AB22" s="1" t="str">
        <f ca="1">IFERROR(__xludf.DUMMYFUNCTION("""COMPUTED_VALUE"""),"Willowfield Harriers")</f>
        <v>Willowfield Harriers</v>
      </c>
      <c r="AC22" s="3">
        <f ca="1">IFERROR(__xludf.DUMMYFUNCTION("""COMPUTED_VALUE"""),0.00549768518518518)</f>
        <v>5.4976851851851801E-3</v>
      </c>
      <c r="AD22" s="1">
        <f ca="1">IFERROR(__xludf.DUMMYFUNCTION("""COMPUTED_VALUE"""),20)</f>
        <v>20</v>
      </c>
      <c r="AE22" s="1" t="str">
        <f ca="1">IFERROR(__xludf.DUMMYFUNCTION("""COMPUTED_VALUE"""),"Nathan Coyle")</f>
        <v>Nathan Coyle</v>
      </c>
      <c r="AF22" s="1" t="str">
        <f ca="1">IFERROR(__xludf.DUMMYFUNCTION("""COMPUTED_VALUE"""),"St Michael's Enniskillen")</f>
        <v>St Michael's Enniskillen</v>
      </c>
      <c r="AG22" s="3">
        <f ca="1">IFERROR(__xludf.DUMMYFUNCTION("""COMPUTED_VALUE"""),0.0045949074074074)</f>
        <v>4.5949074074074E-3</v>
      </c>
      <c r="AH22" s="1" t="str">
        <f ca="1">IFERROR(__xludf.DUMMYFUNCTION("""COMPUTED_VALUE""")," ")</f>
        <v xml:space="preserve"> </v>
      </c>
      <c r="AI22" s="1" t="str">
        <f ca="1">IFERROR(__xludf.DUMMYFUNCTION("""COMPUTED_VALUE""")," ")</f>
        <v xml:space="preserve"> </v>
      </c>
      <c r="AJ22" s="1" t="str">
        <f ca="1">IFERROR(__xludf.DUMMYFUNCTION("""COMPUTED_VALUE""")," ")</f>
        <v xml:space="preserve"> </v>
      </c>
      <c r="AK22" s="1" t="str">
        <f ca="1">IFERROR(__xludf.DUMMYFUNCTION("""COMPUTED_VALUE""")," ")</f>
        <v xml:space="preserve"> </v>
      </c>
      <c r="AL22" s="1" t="str">
        <f ca="1">IFERROR(__xludf.DUMMYFUNCTION("""COMPUTED_VALUE""")," ")</f>
        <v xml:space="preserve"> </v>
      </c>
      <c r="AM22" s="1" t="str">
        <f ca="1">IFERROR(__xludf.DUMMYFUNCTION("""COMPUTED_VALUE""")," ")</f>
        <v xml:space="preserve"> </v>
      </c>
      <c r="AN22" s="1" t="str">
        <f ca="1">IFERROR(__xludf.DUMMYFUNCTION("""COMPUTED_VALUE""")," ")</f>
        <v xml:space="preserve"> </v>
      </c>
      <c r="AO22" s="1">
        <f ca="1">IFERROR(__xludf.DUMMYFUNCTION("""COMPUTED_VALUE"""),20)</f>
        <v>20</v>
      </c>
      <c r="AP22" s="1" t="str">
        <f ca="1">IFERROR(__xludf.DUMMYFUNCTION("""COMPUTED_VALUE"""),"Lucy Reynolds")</f>
        <v>Lucy Reynolds</v>
      </c>
      <c r="AQ22" s="1" t="str">
        <f ca="1">IFERROR(__xludf.DUMMYFUNCTION("""COMPUTED_VALUE"""),"Beechmount Harriers")</f>
        <v>Beechmount Harriers</v>
      </c>
      <c r="AR22" s="3">
        <f ca="1">IFERROR(__xludf.DUMMYFUNCTION("""COMPUTED_VALUE"""),0.0123958333333333)</f>
        <v>1.23958333333333E-2</v>
      </c>
      <c r="AS22" s="1">
        <f ca="1">IFERROR(__xludf.DUMMYFUNCTION("""COMPUTED_VALUE"""),20)</f>
        <v>20</v>
      </c>
      <c r="AT22" s="1" t="str">
        <f ca="1">IFERROR(__xludf.DUMMYFUNCTION("""COMPUTED_VALUE"""),"Ryan Hegarty")</f>
        <v>Ryan Hegarty</v>
      </c>
      <c r="AU22" s="1" t="str">
        <f ca="1">IFERROR(__xludf.DUMMYFUNCTION("""COMPUTED_VALUE"""),"St Michael's Enniskillen")</f>
        <v>St Michael's Enniskillen</v>
      </c>
      <c r="AV22" s="3">
        <f ca="1">IFERROR(__xludf.DUMMYFUNCTION("""COMPUTED_VALUE"""),0.00986111111111111)</f>
        <v>9.8611111111111104E-3</v>
      </c>
      <c r="AW22" s="1"/>
      <c r="AX22" s="1"/>
      <c r="AY22" s="1"/>
      <c r="AZ22" s="1"/>
      <c r="BA22" s="1" t="str">
        <f ca="1">IFERROR(__xludf.DUMMYFUNCTION("""COMPUTED_VALUE""")," ")</f>
        <v xml:space="preserve"> </v>
      </c>
      <c r="BB22" s="1" t="str">
        <f ca="1">IFERROR(__xludf.DUMMYFUNCTION("""COMPUTED_VALUE""")," ")</f>
        <v xml:space="preserve"> </v>
      </c>
      <c r="BC22" s="1" t="str">
        <f ca="1">IFERROR(__xludf.DUMMYFUNCTION("""COMPUTED_VALUE""")," ")</f>
        <v xml:space="preserve"> </v>
      </c>
      <c r="BD22" s="1" t="str">
        <f ca="1">IFERROR(__xludf.DUMMYFUNCTION("""COMPUTED_VALUE""")," ")</f>
        <v xml:space="preserve"> </v>
      </c>
      <c r="BE22" s="1">
        <f ca="1">IFERROR(__xludf.DUMMYFUNCTION("""COMPUTED_VALUE"""),1)</f>
        <v>1</v>
      </c>
      <c r="BF22" s="1" t="str">
        <f ca="1">IFERROR(__xludf.DUMMYFUNCTION("""COMPUTED_VALUE"""),"Laurence Johnston")</f>
        <v>Laurence Johnston</v>
      </c>
      <c r="BG22" s="1" t="str">
        <f ca="1">IFERROR(__xludf.DUMMYFUNCTION("""COMPUTED_VALUE"""),"North Belfast Harriers")</f>
        <v>North Belfast Harriers</v>
      </c>
      <c r="BH22" s="1">
        <f ca="1">IFERROR(__xludf.DUMMYFUNCTION("""COMPUTED_VALUE"""),1)</f>
        <v>1</v>
      </c>
      <c r="BI22" s="1" t="str">
        <f ca="1">IFERROR(__xludf.DUMMYFUNCTION("""COMPUTED_VALUE"""),"Patricia Brown")</f>
        <v>Patricia Brown</v>
      </c>
      <c r="BJ22" s="1" t="str">
        <f ca="1">IFERROR(__xludf.DUMMYFUNCTION("""COMPUTED_VALUE"""),"Newry City Runners")</f>
        <v>Newry City Runners</v>
      </c>
    </row>
    <row r="23" spans="1:62" x14ac:dyDescent="0.25">
      <c r="A23" s="1">
        <f ca="1">IFERROR(__xludf.DUMMYFUNCTION("""COMPUTED_VALUE"""),21)</f>
        <v>21</v>
      </c>
      <c r="B23" s="1" t="str">
        <f ca="1">IFERROR(__xludf.DUMMYFUNCTION("""COMPUTED_VALUE"""),"Stephen Hoey")</f>
        <v>Stephen Hoey</v>
      </c>
      <c r="C23" s="1" t="str">
        <f ca="1">IFERROR(__xludf.DUMMYFUNCTION("""COMPUTED_VALUE"""),"M50")</f>
        <v>M50</v>
      </c>
      <c r="D23" s="1" t="str">
        <f ca="1">IFERROR(__xludf.DUMMYFUNCTION("""COMPUTED_VALUE"""),"Jog Lisburn Running Club")</f>
        <v>Jog Lisburn Running Club</v>
      </c>
      <c r="E23" s="3">
        <f ca="1">IFERROR(__xludf.DUMMYFUNCTION("""COMPUTED_VALUE"""),0.0127314814814814)</f>
        <v>1.2731481481481399E-2</v>
      </c>
      <c r="F23" s="1">
        <f ca="1">IFERROR(__xludf.DUMMYFUNCTION("""COMPUTED_VALUE"""),21)</f>
        <v>21</v>
      </c>
      <c r="G23" s="1" t="str">
        <f ca="1">IFERROR(__xludf.DUMMYFUNCTION("""COMPUTED_VALUE"""),"Ollie Hanna")</f>
        <v>Ollie Hanna</v>
      </c>
      <c r="H23" s="1" t="str">
        <f ca="1">IFERROR(__xludf.DUMMYFUNCTION("""COMPUTED_VALUE"""),"U13B")</f>
        <v>U13B</v>
      </c>
      <c r="I23" s="1" t="str">
        <f ca="1">IFERROR(__xludf.DUMMYFUNCTION("""COMPUTED_VALUE"""),"Loughview AC")</f>
        <v>Loughview AC</v>
      </c>
      <c r="J23" s="3">
        <f ca="1">IFERROR(__xludf.DUMMYFUNCTION("""COMPUTED_VALUE"""),0.00446759259259259)</f>
        <v>4.4675925925925898E-3</v>
      </c>
      <c r="K23" s="1">
        <f ca="1">IFERROR(__xludf.DUMMYFUNCTION("""COMPUTED_VALUE"""),21)</f>
        <v>21</v>
      </c>
      <c r="L23" s="1" t="str">
        <f ca="1">IFERROR(__xludf.DUMMYFUNCTION("""COMPUTED_VALUE"""),"Jacqueline Wright")</f>
        <v>Jacqueline Wright</v>
      </c>
      <c r="M23" s="1" t="str">
        <f ca="1">IFERROR(__xludf.DUMMYFUNCTION("""COMPUTED_VALUE"""),"F40")</f>
        <v>F40</v>
      </c>
      <c r="N23" s="1" t="str">
        <f ca="1">IFERROR(__xludf.DUMMYFUNCTION("""COMPUTED_VALUE"""),"Armagh AC")</f>
        <v>Armagh AC</v>
      </c>
      <c r="O23" s="3">
        <f ca="1">IFERROR(__xludf.DUMMYFUNCTION("""COMPUTED_VALUE"""),0.0145023148148148)</f>
        <v>1.4502314814814799E-2</v>
      </c>
      <c r="P23" s="1">
        <f ca="1">IFERROR(__xludf.DUMMYFUNCTION("""COMPUTED_VALUE"""),21)</f>
        <v>21</v>
      </c>
      <c r="Q23" s="1" t="str">
        <f ca="1">IFERROR(__xludf.DUMMYFUNCTION("""COMPUTED_VALUE"""),"Aisling Smith")</f>
        <v>Aisling Smith</v>
      </c>
      <c r="R23" s="1" t="str">
        <f ca="1">IFERROR(__xludf.DUMMYFUNCTION("""COMPUTED_VALUE"""),"U15G")</f>
        <v>U15G</v>
      </c>
      <c r="S23" s="1" t="str">
        <f ca="1">IFERROR(__xludf.DUMMYFUNCTION("""COMPUTED_VALUE"""),"Ballymena &amp; Antrim AC")</f>
        <v>Ballymena &amp; Antrim AC</v>
      </c>
      <c r="T23" s="3">
        <f ca="1">IFERROR(__xludf.DUMMYFUNCTION("""COMPUTED_VALUE"""),0.00863425925925926)</f>
        <v>8.6342592592592599E-3</v>
      </c>
      <c r="U23" s="1">
        <f ca="1">IFERROR(__xludf.DUMMYFUNCTION("""COMPUTED_VALUE"""),21)</f>
        <v>21</v>
      </c>
      <c r="V23" s="1" t="str">
        <f ca="1">IFERROR(__xludf.DUMMYFUNCTION("""COMPUTED_VALUE"""),"Gareth Watton")</f>
        <v>Gareth Watton</v>
      </c>
      <c r="W23" s="1" t="str">
        <f ca="1">IFERROR(__xludf.DUMMYFUNCTION("""COMPUTED_VALUE"""),"MO")</f>
        <v>MO</v>
      </c>
      <c r="X23" s="1" t="str">
        <f ca="1">IFERROR(__xludf.DUMMYFUNCTION("""COMPUTED_VALUE"""),"North Down AC")</f>
        <v>North Down AC</v>
      </c>
      <c r="Y23" s="3">
        <f ca="1">IFERROR(__xludf.DUMMYFUNCTION("""COMPUTED_VALUE"""),0.0159606481481481)</f>
        <v>1.5960648148148099E-2</v>
      </c>
      <c r="Z23" s="1">
        <f ca="1">IFERROR(__xludf.DUMMYFUNCTION("""COMPUTED_VALUE"""),21)</f>
        <v>21</v>
      </c>
      <c r="AA23" s="1" t="str">
        <f ca="1">IFERROR(__xludf.DUMMYFUNCTION("""COMPUTED_VALUE"""),"Isabella Haylett")</f>
        <v>Isabella Haylett</v>
      </c>
      <c r="AB23" s="1" t="str">
        <f ca="1">IFERROR(__xludf.DUMMYFUNCTION("""COMPUTED_VALUE"""),"Scrabo Striders")</f>
        <v>Scrabo Striders</v>
      </c>
      <c r="AC23" s="3">
        <f ca="1">IFERROR(__xludf.DUMMYFUNCTION("""COMPUTED_VALUE"""),0.00559027777777777)</f>
        <v>5.5902777777777704E-3</v>
      </c>
      <c r="AD23" s="1">
        <f ca="1">IFERROR(__xludf.DUMMYFUNCTION("""COMPUTED_VALUE"""),21)</f>
        <v>21</v>
      </c>
      <c r="AE23" s="1" t="str">
        <f ca="1">IFERROR(__xludf.DUMMYFUNCTION("""COMPUTED_VALUE"""),"Senan McConnell")</f>
        <v>Senan McConnell</v>
      </c>
      <c r="AF23" s="1" t="str">
        <f ca="1">IFERROR(__xludf.DUMMYFUNCTION("""COMPUTED_VALUE"""),"North Belfast Harriers")</f>
        <v>North Belfast Harriers</v>
      </c>
      <c r="AG23" s="3">
        <f ca="1">IFERROR(__xludf.DUMMYFUNCTION("""COMPUTED_VALUE"""),0.00461805555555555)</f>
        <v>4.6180555555555497E-3</v>
      </c>
      <c r="AH23" s="1" t="str">
        <f ca="1">IFERROR(__xludf.DUMMYFUNCTION("""COMPUTED_VALUE""")," ")</f>
        <v xml:space="preserve"> </v>
      </c>
      <c r="AI23" s="1" t="str">
        <f ca="1">IFERROR(__xludf.DUMMYFUNCTION("""COMPUTED_VALUE""")," ")</f>
        <v xml:space="preserve"> </v>
      </c>
      <c r="AJ23" s="1" t="str">
        <f ca="1">IFERROR(__xludf.DUMMYFUNCTION("""COMPUTED_VALUE""")," ")</f>
        <v xml:space="preserve"> </v>
      </c>
      <c r="AK23" s="1" t="str">
        <f ca="1">IFERROR(__xludf.DUMMYFUNCTION("""COMPUTED_VALUE""")," ")</f>
        <v xml:space="preserve"> </v>
      </c>
      <c r="AL23" s="1" t="str">
        <f ca="1">IFERROR(__xludf.DUMMYFUNCTION("""COMPUTED_VALUE""")," ")</f>
        <v xml:space="preserve"> </v>
      </c>
      <c r="AM23" s="1" t="str">
        <f ca="1">IFERROR(__xludf.DUMMYFUNCTION("""COMPUTED_VALUE""")," ")</f>
        <v xml:space="preserve"> </v>
      </c>
      <c r="AN23" s="1" t="str">
        <f ca="1">IFERROR(__xludf.DUMMYFUNCTION("""COMPUTED_VALUE""")," ")</f>
        <v xml:space="preserve"> </v>
      </c>
      <c r="AO23" s="1">
        <f ca="1">IFERROR(__xludf.DUMMYFUNCTION("""COMPUTED_VALUE"""),21)</f>
        <v>21</v>
      </c>
      <c r="AP23" s="1" t="str">
        <f ca="1">IFERROR(__xludf.DUMMYFUNCTION("""COMPUTED_VALUE"""),"Hannah Morris")</f>
        <v>Hannah Morris</v>
      </c>
      <c r="AQ23" s="1" t="str">
        <f ca="1">IFERROR(__xludf.DUMMYFUNCTION("""COMPUTED_VALUE"""),"East Down AC")</f>
        <v>East Down AC</v>
      </c>
      <c r="AR23" s="3">
        <f ca="1">IFERROR(__xludf.DUMMYFUNCTION("""COMPUTED_VALUE"""),0.0124074074074074)</f>
        <v>1.24074074074074E-2</v>
      </c>
      <c r="AS23" s="1">
        <f ca="1">IFERROR(__xludf.DUMMYFUNCTION("""COMPUTED_VALUE"""),21)</f>
        <v>21</v>
      </c>
      <c r="AT23" s="1" t="str">
        <f ca="1">IFERROR(__xludf.DUMMYFUNCTION("""COMPUTED_VALUE"""),"Emmet Mc Gurn")</f>
        <v>Emmet Mc Gurn</v>
      </c>
      <c r="AU23" s="1" t="str">
        <f ca="1">IFERROR(__xludf.DUMMYFUNCTION("""COMPUTED_VALUE"""),"St Michael's Enniskillen")</f>
        <v>St Michael's Enniskillen</v>
      </c>
      <c r="AV23" s="3">
        <f ca="1">IFERROR(__xludf.DUMMYFUNCTION("""COMPUTED_VALUE"""),0.00993055555555555)</f>
        <v>9.9305555555555501E-3</v>
      </c>
      <c r="AW23" s="1"/>
      <c r="AX23" s="1"/>
      <c r="AY23" s="1"/>
      <c r="AZ23" s="1"/>
      <c r="BA23" s="1" t="str">
        <f ca="1">IFERROR(__xludf.DUMMYFUNCTION("""COMPUTED_VALUE""")," ")</f>
        <v xml:space="preserve"> </v>
      </c>
      <c r="BB23" s="1" t="str">
        <f ca="1">IFERROR(__xludf.DUMMYFUNCTION("""COMPUTED_VALUE""")," ")</f>
        <v xml:space="preserve"> </v>
      </c>
      <c r="BC23" s="1" t="str">
        <f ca="1">IFERROR(__xludf.DUMMYFUNCTION("""COMPUTED_VALUE""")," ")</f>
        <v xml:space="preserve"> </v>
      </c>
      <c r="BD23" s="1" t="str">
        <f ca="1">IFERROR(__xludf.DUMMYFUNCTION("""COMPUTED_VALUE""")," ")</f>
        <v xml:space="preserve"> </v>
      </c>
      <c r="BE23" s="1"/>
      <c r="BF23" s="1"/>
      <c r="BG23" s="1"/>
      <c r="BH23" s="1"/>
      <c r="BI23" s="1"/>
      <c r="BJ23" s="1"/>
    </row>
    <row r="24" spans="1:62" x14ac:dyDescent="0.25">
      <c r="A24" s="1">
        <f ca="1">IFERROR(__xludf.DUMMYFUNCTION("""COMPUTED_VALUE"""),22)</f>
        <v>22</v>
      </c>
      <c r="B24" s="1" t="str">
        <f ca="1">IFERROR(__xludf.DUMMYFUNCTION("""COMPUTED_VALUE"""),"Gareth Blair")</f>
        <v>Gareth Blair</v>
      </c>
      <c r="C24" s="1" t="str">
        <f ca="1">IFERROR(__xludf.DUMMYFUNCTION("""COMPUTED_VALUE"""),"M45")</f>
        <v>M45</v>
      </c>
      <c r="D24" s="1" t="str">
        <f ca="1">IFERROR(__xludf.DUMMYFUNCTION("""COMPUTED_VALUE"""),"East Antrim Harriers")</f>
        <v>East Antrim Harriers</v>
      </c>
      <c r="E24" s="3">
        <f ca="1">IFERROR(__xludf.DUMMYFUNCTION("""COMPUTED_VALUE"""),0.0128356481481481)</f>
        <v>1.28356481481481E-2</v>
      </c>
      <c r="F24" s="1">
        <f ca="1">IFERROR(__xludf.DUMMYFUNCTION("""COMPUTED_VALUE"""),22)</f>
        <v>22</v>
      </c>
      <c r="G24" s="1" t="str">
        <f ca="1">IFERROR(__xludf.DUMMYFUNCTION("""COMPUTED_VALUE"""),"Isla Wiltshire")</f>
        <v>Isla Wiltshire</v>
      </c>
      <c r="H24" s="1" t="str">
        <f ca="1">IFERROR(__xludf.DUMMYFUNCTION("""COMPUTED_VALUE"""),"U13G")</f>
        <v>U13G</v>
      </c>
      <c r="I24" s="1" t="str">
        <f ca="1">IFERROR(__xludf.DUMMYFUNCTION("""COMPUTED_VALUE"""),"North Belfast Harriers")</f>
        <v>North Belfast Harriers</v>
      </c>
      <c r="J24" s="3">
        <f ca="1">IFERROR(__xludf.DUMMYFUNCTION("""COMPUTED_VALUE"""),0.00449074074074074)</f>
        <v>4.4907407407407396E-3</v>
      </c>
      <c r="K24" s="1">
        <f ca="1">IFERROR(__xludf.DUMMYFUNCTION("""COMPUTED_VALUE"""),22)</f>
        <v>22</v>
      </c>
      <c r="L24" s="1" t="str">
        <f ca="1">IFERROR(__xludf.DUMMYFUNCTION("""COMPUTED_VALUE"""),"Christine Nugent")</f>
        <v>Christine Nugent</v>
      </c>
      <c r="M24" s="1" t="str">
        <f ca="1">IFERROR(__xludf.DUMMYFUNCTION("""COMPUTED_VALUE"""),"F40")</f>
        <v>F40</v>
      </c>
      <c r="N24" s="1" t="str">
        <f ca="1">IFERROR(__xludf.DUMMYFUNCTION("""COMPUTED_VALUE"""),"Armagh AC")</f>
        <v>Armagh AC</v>
      </c>
      <c r="O24" s="3">
        <f ca="1">IFERROR(__xludf.DUMMYFUNCTION("""COMPUTED_VALUE"""),0.0146643518518518)</f>
        <v>1.46643518518518E-2</v>
      </c>
      <c r="P24" s="1">
        <f ca="1">IFERROR(__xludf.DUMMYFUNCTION("""COMPUTED_VALUE"""),22)</f>
        <v>22</v>
      </c>
      <c r="Q24" s="1" t="str">
        <f ca="1">IFERROR(__xludf.DUMMYFUNCTION("""COMPUTED_VALUE"""),"Ben Proctor")</f>
        <v>Ben Proctor</v>
      </c>
      <c r="R24" s="1" t="str">
        <f ca="1">IFERROR(__xludf.DUMMYFUNCTION("""COMPUTED_VALUE"""),"U17B")</f>
        <v>U17B</v>
      </c>
      <c r="S24" s="1" t="str">
        <f ca="1">IFERROR(__xludf.DUMMYFUNCTION("""COMPUTED_VALUE"""),"Willowfield Harriers")</f>
        <v>Willowfield Harriers</v>
      </c>
      <c r="T24" s="3">
        <f ca="1">IFERROR(__xludf.DUMMYFUNCTION("""COMPUTED_VALUE"""),0.00868055555555555)</f>
        <v>8.6805555555555507E-3</v>
      </c>
      <c r="U24" s="1">
        <f ca="1">IFERROR(__xludf.DUMMYFUNCTION("""COMPUTED_VALUE"""),22)</f>
        <v>22</v>
      </c>
      <c r="V24" s="1" t="str">
        <f ca="1">IFERROR(__xludf.DUMMYFUNCTION("""COMPUTED_VALUE"""),"Dale Murray")</f>
        <v>Dale Murray</v>
      </c>
      <c r="W24" s="1" t="str">
        <f ca="1">IFERROR(__xludf.DUMMYFUNCTION("""COMPUTED_VALUE"""),"MO")</f>
        <v>MO</v>
      </c>
      <c r="X24" s="1" t="str">
        <f ca="1">IFERROR(__xludf.DUMMYFUNCTION("""COMPUTED_VALUE"""),"North Down AC")</f>
        <v>North Down AC</v>
      </c>
      <c r="Y24" s="3">
        <f ca="1">IFERROR(__xludf.DUMMYFUNCTION("""COMPUTED_VALUE"""),0.0159722222222222)</f>
        <v>1.59722222222222E-2</v>
      </c>
      <c r="Z24" s="1">
        <f ca="1">IFERROR(__xludf.DUMMYFUNCTION("""COMPUTED_VALUE"""),22)</f>
        <v>22</v>
      </c>
      <c r="AA24" s="1" t="str">
        <f ca="1">IFERROR(__xludf.DUMMYFUNCTION("""COMPUTED_VALUE"""),"Eva Coey")</f>
        <v>Eva Coey</v>
      </c>
      <c r="AB24" s="1" t="str">
        <f ca="1">IFERROR(__xludf.DUMMYFUNCTION("""COMPUTED_VALUE"""),"Scrabo Striders")</f>
        <v>Scrabo Striders</v>
      </c>
      <c r="AC24" s="3">
        <f ca="1">IFERROR(__xludf.DUMMYFUNCTION("""COMPUTED_VALUE"""),0.00567129629629629)</f>
        <v>5.6712962962962897E-3</v>
      </c>
      <c r="AD24" s="1">
        <f ca="1">IFERROR(__xludf.DUMMYFUNCTION("""COMPUTED_VALUE"""),22)</f>
        <v>22</v>
      </c>
      <c r="AE24" s="1" t="str">
        <f ca="1">IFERROR(__xludf.DUMMYFUNCTION("""COMPUTED_VALUE"""),"Jack Crilly")</f>
        <v>Jack Crilly</v>
      </c>
      <c r="AF24" s="1" t="str">
        <f ca="1">IFERROR(__xludf.DUMMYFUNCTION("""COMPUTED_VALUE"""),"Armagh AC")</f>
        <v>Armagh AC</v>
      </c>
      <c r="AG24" s="3">
        <f ca="1">IFERROR(__xludf.DUMMYFUNCTION("""COMPUTED_VALUE"""),0.00462962962962962)</f>
        <v>4.6296296296296198E-3</v>
      </c>
      <c r="AH24" s="1" t="str">
        <f ca="1">IFERROR(__xludf.DUMMYFUNCTION("""COMPUTED_VALUE""")," ")</f>
        <v xml:space="preserve"> </v>
      </c>
      <c r="AI24" s="1" t="str">
        <f ca="1">IFERROR(__xludf.DUMMYFUNCTION("""COMPUTED_VALUE""")," ")</f>
        <v xml:space="preserve"> </v>
      </c>
      <c r="AJ24" s="1" t="str">
        <f ca="1">IFERROR(__xludf.DUMMYFUNCTION("""COMPUTED_VALUE""")," ")</f>
        <v xml:space="preserve"> </v>
      </c>
      <c r="AK24" s="1" t="str">
        <f ca="1">IFERROR(__xludf.DUMMYFUNCTION("""COMPUTED_VALUE""")," ")</f>
        <v xml:space="preserve"> </v>
      </c>
      <c r="AL24" s="1" t="str">
        <f ca="1">IFERROR(__xludf.DUMMYFUNCTION("""COMPUTED_VALUE""")," ")</f>
        <v xml:space="preserve"> </v>
      </c>
      <c r="AM24" s="1" t="str">
        <f ca="1">IFERROR(__xludf.DUMMYFUNCTION("""COMPUTED_VALUE""")," ")</f>
        <v xml:space="preserve"> </v>
      </c>
      <c r="AN24" s="1" t="str">
        <f ca="1">IFERROR(__xludf.DUMMYFUNCTION("""COMPUTED_VALUE""")," ")</f>
        <v xml:space="preserve"> </v>
      </c>
      <c r="AO24" s="1">
        <f ca="1">IFERROR(__xludf.DUMMYFUNCTION("""COMPUTED_VALUE"""),22)</f>
        <v>22</v>
      </c>
      <c r="AP24" s="1" t="str">
        <f ca="1">IFERROR(__xludf.DUMMYFUNCTION("""COMPUTED_VALUE"""),"Anna Bittles")</f>
        <v>Anna Bittles</v>
      </c>
      <c r="AQ24" s="1" t="str">
        <f ca="1">IFERROR(__xludf.DUMMYFUNCTION("""COMPUTED_VALUE"""),"Beechmount Harriers")</f>
        <v>Beechmount Harriers</v>
      </c>
      <c r="AR24" s="3">
        <f ca="1">IFERROR(__xludf.DUMMYFUNCTION("""COMPUTED_VALUE"""),0.0126736111111111)</f>
        <v>1.2673611111111101E-2</v>
      </c>
      <c r="AS24" s="1">
        <f ca="1">IFERROR(__xludf.DUMMYFUNCTION("""COMPUTED_VALUE"""),22)</f>
        <v>22</v>
      </c>
      <c r="AT24" s="1" t="str">
        <f ca="1">IFERROR(__xludf.DUMMYFUNCTION("""COMPUTED_VALUE"""),"Ronan Prunty")</f>
        <v>Ronan Prunty</v>
      </c>
      <c r="AU24" s="1" t="str">
        <f ca="1">IFERROR(__xludf.DUMMYFUNCTION("""COMPUTED_VALUE"""),"St Michael's Enniskillen")</f>
        <v>St Michael's Enniskillen</v>
      </c>
      <c r="AV24" s="3">
        <f ca="1">IFERROR(__xludf.DUMMYFUNCTION("""COMPUTED_VALUE"""),0.00997685185185185)</f>
        <v>9.9768518518518496E-3</v>
      </c>
      <c r="AW24" s="1"/>
      <c r="AX24" s="1"/>
      <c r="AY24" s="1"/>
      <c r="AZ24" s="1"/>
      <c r="BA24" s="1" t="str">
        <f ca="1">IFERROR(__xludf.DUMMYFUNCTION("""COMPUTED_VALUE""")," ")</f>
        <v xml:space="preserve"> </v>
      </c>
      <c r="BB24" s="1" t="str">
        <f ca="1">IFERROR(__xludf.DUMMYFUNCTION("""COMPUTED_VALUE""")," ")</f>
        <v xml:space="preserve"> </v>
      </c>
      <c r="BC24" s="1" t="str">
        <f ca="1">IFERROR(__xludf.DUMMYFUNCTION("""COMPUTED_VALUE""")," ")</f>
        <v xml:space="preserve"> </v>
      </c>
      <c r="BD24" s="1" t="str">
        <f ca="1">IFERROR(__xludf.DUMMYFUNCTION("""COMPUTED_VALUE""")," ")</f>
        <v xml:space="preserve"> </v>
      </c>
      <c r="BE24" s="1" t="str">
        <f ca="1">IFERROR(__xludf.DUMMYFUNCTION("""COMPUTED_VALUE"""),"M65")</f>
        <v>M65</v>
      </c>
      <c r="BF24" s="1"/>
      <c r="BG24" s="1"/>
      <c r="BH24" s="1" t="str">
        <f ca="1">IFERROR(__xludf.DUMMYFUNCTION("""COMPUTED_VALUE"""),"F60")</f>
        <v>F60</v>
      </c>
      <c r="BI24" s="1"/>
      <c r="BJ24" s="1"/>
    </row>
    <row r="25" spans="1:62" x14ac:dyDescent="0.25">
      <c r="A25" s="1">
        <f ca="1">IFERROR(__xludf.DUMMYFUNCTION("""COMPUTED_VALUE"""),23)</f>
        <v>23</v>
      </c>
      <c r="B25" s="1" t="str">
        <f ca="1">IFERROR(__xludf.DUMMYFUNCTION("""COMPUTED_VALUE"""),"David Turtle")</f>
        <v>David Turtle</v>
      </c>
      <c r="C25" s="1" t="str">
        <f ca="1">IFERROR(__xludf.DUMMYFUNCTION("""COMPUTED_VALUE"""),"M40")</f>
        <v>M40</v>
      </c>
      <c r="D25" s="1" t="str">
        <f ca="1">IFERROR(__xludf.DUMMYFUNCTION("""COMPUTED_VALUE"""),"East Antrim Harriers")</f>
        <v>East Antrim Harriers</v>
      </c>
      <c r="E25" s="3">
        <f ca="1">IFERROR(__xludf.DUMMYFUNCTION("""COMPUTED_VALUE"""),0.0128472222222222)</f>
        <v>1.2847222222222201E-2</v>
      </c>
      <c r="F25" s="1">
        <f ca="1">IFERROR(__xludf.DUMMYFUNCTION("""COMPUTED_VALUE"""),23)</f>
        <v>23</v>
      </c>
      <c r="G25" s="1" t="str">
        <f ca="1">IFERROR(__xludf.DUMMYFUNCTION("""COMPUTED_VALUE"""),"Ruarcc Sheridan")</f>
        <v>Ruarcc Sheridan</v>
      </c>
      <c r="H25" s="1" t="str">
        <f ca="1">IFERROR(__xludf.DUMMYFUNCTION("""COMPUTED_VALUE"""),"U13B")</f>
        <v>U13B</v>
      </c>
      <c r="I25" s="1" t="str">
        <f ca="1">IFERROR(__xludf.DUMMYFUNCTION("""COMPUTED_VALUE"""),"North Belfast Harriers")</f>
        <v>North Belfast Harriers</v>
      </c>
      <c r="J25" s="3">
        <f ca="1">IFERROR(__xludf.DUMMYFUNCTION("""COMPUTED_VALUE"""),0.00451388888888888)</f>
        <v>4.5138888888888798E-3</v>
      </c>
      <c r="K25" s="1">
        <f ca="1">IFERROR(__xludf.DUMMYFUNCTION("""COMPUTED_VALUE"""),23)</f>
        <v>23</v>
      </c>
      <c r="L25" s="1" t="str">
        <f ca="1">IFERROR(__xludf.DUMMYFUNCTION("""COMPUTED_VALUE"""),"Oonagh Haughey")</f>
        <v>Oonagh Haughey</v>
      </c>
      <c r="M25" s="1" t="str">
        <f ca="1">IFERROR(__xludf.DUMMYFUNCTION("""COMPUTED_VALUE"""),"F40")</f>
        <v>F40</v>
      </c>
      <c r="N25" s="1" t="str">
        <f ca="1">IFERROR(__xludf.DUMMYFUNCTION("""COMPUTED_VALUE"""),"Armagh AC")</f>
        <v>Armagh AC</v>
      </c>
      <c r="O25" s="3">
        <f ca="1">IFERROR(__xludf.DUMMYFUNCTION("""COMPUTED_VALUE"""),0.0146875)</f>
        <v>1.4687499999999999E-2</v>
      </c>
      <c r="P25" s="1">
        <f ca="1">IFERROR(__xludf.DUMMYFUNCTION("""COMPUTED_VALUE"""),23)</f>
        <v>23</v>
      </c>
      <c r="Q25" s="1" t="str">
        <f ca="1">IFERROR(__xludf.DUMMYFUNCTION("""COMPUTED_VALUE"""),"Lily Rimmer")</f>
        <v>Lily Rimmer</v>
      </c>
      <c r="R25" s="1" t="str">
        <f ca="1">IFERROR(__xludf.DUMMYFUNCTION("""COMPUTED_VALUE"""),"U15G")</f>
        <v>U15G</v>
      </c>
      <c r="S25" s="1" t="str">
        <f ca="1">IFERROR(__xludf.DUMMYFUNCTION("""COMPUTED_VALUE"""),"Lagan Valley AC")</f>
        <v>Lagan Valley AC</v>
      </c>
      <c r="T25" s="3">
        <f ca="1">IFERROR(__xludf.DUMMYFUNCTION("""COMPUTED_VALUE"""),0.00871527777777777)</f>
        <v>8.7152777777777697E-3</v>
      </c>
      <c r="U25" s="1">
        <f ca="1">IFERROR(__xludf.DUMMYFUNCTION("""COMPUTED_VALUE"""),23)</f>
        <v>23</v>
      </c>
      <c r="V25" s="1" t="str">
        <f ca="1">IFERROR(__xludf.DUMMYFUNCTION("""COMPUTED_VALUE"""),"Daniel Molloy")</f>
        <v>Daniel Molloy</v>
      </c>
      <c r="W25" s="1" t="str">
        <f ca="1">IFERROR(__xludf.DUMMYFUNCTION("""COMPUTED_VALUE"""),"MO")</f>
        <v>MO</v>
      </c>
      <c r="X25" s="1" t="str">
        <f ca="1">IFERROR(__xludf.DUMMYFUNCTION("""COMPUTED_VALUE"""),"Newcastle &amp; District AC")</f>
        <v>Newcastle &amp; District AC</v>
      </c>
      <c r="Y25" s="3">
        <f ca="1">IFERROR(__xludf.DUMMYFUNCTION("""COMPUTED_VALUE"""),0.0160300925925925)</f>
        <v>1.6030092592592499E-2</v>
      </c>
      <c r="Z25" s="1">
        <f ca="1">IFERROR(__xludf.DUMMYFUNCTION("""COMPUTED_VALUE"""),23)</f>
        <v>23</v>
      </c>
      <c r="AA25" s="1" t="str">
        <f ca="1">IFERROR(__xludf.DUMMYFUNCTION("""COMPUTED_VALUE"""),"Kelsey Murray")</f>
        <v>Kelsey Murray</v>
      </c>
      <c r="AB25" s="1" t="str">
        <f ca="1">IFERROR(__xludf.DUMMYFUNCTION("""COMPUTED_VALUE"""),"East Down AC")</f>
        <v>East Down AC</v>
      </c>
      <c r="AC25" s="3">
        <f ca="1">IFERROR(__xludf.DUMMYFUNCTION("""COMPUTED_VALUE"""),0.00581018518518518)</f>
        <v>5.8101851851851804E-3</v>
      </c>
      <c r="AD25" s="1">
        <f ca="1">IFERROR(__xludf.DUMMYFUNCTION("""COMPUTED_VALUE"""),23)</f>
        <v>23</v>
      </c>
      <c r="AE25" s="1" t="str">
        <f ca="1">IFERROR(__xludf.DUMMYFUNCTION("""COMPUTED_VALUE"""),"Patrick Toal")</f>
        <v>Patrick Toal</v>
      </c>
      <c r="AF25" s="1" t="str">
        <f ca="1">IFERROR(__xludf.DUMMYFUNCTION("""COMPUTED_VALUE"""),"St Michael's Enniskillen")</f>
        <v>St Michael's Enniskillen</v>
      </c>
      <c r="AG25" s="3">
        <f ca="1">IFERROR(__xludf.DUMMYFUNCTION("""COMPUTED_VALUE"""),0.00467592592592592)</f>
        <v>4.6759259259259202E-3</v>
      </c>
      <c r="AH25" s="1" t="str">
        <f ca="1">IFERROR(__xludf.DUMMYFUNCTION("""COMPUTED_VALUE""")," ")</f>
        <v xml:space="preserve"> </v>
      </c>
      <c r="AI25" s="1" t="str">
        <f ca="1">IFERROR(__xludf.DUMMYFUNCTION("""COMPUTED_VALUE""")," ")</f>
        <v xml:space="preserve"> </v>
      </c>
      <c r="AJ25" s="1" t="str">
        <f ca="1">IFERROR(__xludf.DUMMYFUNCTION("""COMPUTED_VALUE""")," ")</f>
        <v xml:space="preserve"> </v>
      </c>
      <c r="AK25" s="1" t="str">
        <f ca="1">IFERROR(__xludf.DUMMYFUNCTION("""COMPUTED_VALUE""")," ")</f>
        <v xml:space="preserve"> </v>
      </c>
      <c r="AL25" s="1" t="str">
        <f ca="1">IFERROR(__xludf.DUMMYFUNCTION("""COMPUTED_VALUE""")," ")</f>
        <v xml:space="preserve"> </v>
      </c>
      <c r="AM25" s="1" t="str">
        <f ca="1">IFERROR(__xludf.DUMMYFUNCTION("""COMPUTED_VALUE""")," ")</f>
        <v xml:space="preserve"> </v>
      </c>
      <c r="AN25" s="1" t="str">
        <f ca="1">IFERROR(__xludf.DUMMYFUNCTION("""COMPUTED_VALUE""")," ")</f>
        <v xml:space="preserve"> </v>
      </c>
      <c r="AO25" s="1">
        <f ca="1">IFERROR(__xludf.DUMMYFUNCTION("""COMPUTED_VALUE"""),23)</f>
        <v>23</v>
      </c>
      <c r="AP25" s="1" t="str">
        <f ca="1">IFERROR(__xludf.DUMMYFUNCTION("""COMPUTED_VALUE"""),"Poppy Ferguson")</f>
        <v>Poppy Ferguson</v>
      </c>
      <c r="AQ25" s="1" t="str">
        <f ca="1">IFERROR(__xludf.DUMMYFUNCTION("""COMPUTED_VALUE"""),"East Down AC")</f>
        <v>East Down AC</v>
      </c>
      <c r="AR25" s="3">
        <f ca="1">IFERROR(__xludf.DUMMYFUNCTION("""COMPUTED_VALUE"""),0.0128472222222222)</f>
        <v>1.2847222222222201E-2</v>
      </c>
      <c r="AS25" s="1">
        <f ca="1">IFERROR(__xludf.DUMMYFUNCTION("""COMPUTED_VALUE"""),23)</f>
        <v>23</v>
      </c>
      <c r="AT25" s="1" t="str">
        <f ca="1">IFERROR(__xludf.DUMMYFUNCTION("""COMPUTED_VALUE"""),"Rónán Jones")</f>
        <v>Rónán Jones</v>
      </c>
      <c r="AU25" s="1" t="str">
        <f ca="1">IFERROR(__xludf.DUMMYFUNCTION("""COMPUTED_VALUE"""),"St Michael's Enniskillen")</f>
        <v>St Michael's Enniskillen</v>
      </c>
      <c r="AV25" s="3">
        <f ca="1">IFERROR(__xludf.DUMMYFUNCTION("""COMPUTED_VALUE"""),0.010162037037037)</f>
        <v>1.0162037037037001E-2</v>
      </c>
      <c r="AW25" s="1"/>
      <c r="AX25" s="1"/>
      <c r="AY25" s="1"/>
      <c r="AZ25" s="1"/>
      <c r="BA25" s="1" t="str">
        <f ca="1">IFERROR(__xludf.DUMMYFUNCTION("""COMPUTED_VALUE""")," ")</f>
        <v xml:space="preserve"> </v>
      </c>
      <c r="BB25" s="1" t="str">
        <f ca="1">IFERROR(__xludf.DUMMYFUNCTION("""COMPUTED_VALUE""")," ")</f>
        <v xml:space="preserve"> </v>
      </c>
      <c r="BC25" s="1" t="str">
        <f ca="1">IFERROR(__xludf.DUMMYFUNCTION("""COMPUTED_VALUE""")," ")</f>
        <v xml:space="preserve"> </v>
      </c>
      <c r="BD25" s="1" t="str">
        <f ca="1">IFERROR(__xludf.DUMMYFUNCTION("""COMPUTED_VALUE""")," ")</f>
        <v xml:space="preserve"> </v>
      </c>
      <c r="BE25" s="1">
        <f ca="1">IFERROR(__xludf.DUMMYFUNCTION("""COMPUTED_VALUE"""),1)</f>
        <v>1</v>
      </c>
      <c r="BF25" s="1" t="str">
        <f ca="1">IFERROR(__xludf.DUMMYFUNCTION("""COMPUTED_VALUE"""),"Gerry O Doherty")</f>
        <v>Gerry O Doherty</v>
      </c>
      <c r="BG25" s="1" t="str">
        <f ca="1">IFERROR(__xludf.DUMMYFUNCTION("""COMPUTED_VALUE"""),"City of Derry AC Spartans")</f>
        <v>City of Derry AC Spartans</v>
      </c>
      <c r="BH25" s="1">
        <f ca="1">IFERROR(__xludf.DUMMYFUNCTION("""COMPUTED_VALUE"""),1)</f>
        <v>1</v>
      </c>
      <c r="BI25" s="1" t="str">
        <f ca="1">IFERROR(__xludf.DUMMYFUNCTION("""COMPUTED_VALUE"""),"Liz Turton")</f>
        <v>Liz Turton</v>
      </c>
      <c r="BJ25" s="1" t="str">
        <f ca="1">IFERROR(__xludf.DUMMYFUNCTION("""COMPUTED_VALUE"""),"NIMAA")</f>
        <v>NIMAA</v>
      </c>
    </row>
    <row r="26" spans="1:62" x14ac:dyDescent="0.25">
      <c r="A26" s="1">
        <f ca="1">IFERROR(__xludf.DUMMYFUNCTION("""COMPUTED_VALUE"""),24)</f>
        <v>24</v>
      </c>
      <c r="B26" s="1" t="str">
        <f ca="1">IFERROR(__xludf.DUMMYFUNCTION("""COMPUTED_VALUE"""),"Ronan Healy")</f>
        <v>Ronan Healy</v>
      </c>
      <c r="C26" s="1" t="str">
        <f ca="1">IFERROR(__xludf.DUMMYFUNCTION("""COMPUTED_VALUE"""),"M50")</f>
        <v>M50</v>
      </c>
      <c r="D26" s="1" t="str">
        <f ca="1">IFERROR(__xludf.DUMMYFUNCTION("""COMPUTED_VALUE"""),"Foyle Valley")</f>
        <v>Foyle Valley</v>
      </c>
      <c r="E26" s="3">
        <f ca="1">IFERROR(__xludf.DUMMYFUNCTION("""COMPUTED_VALUE"""),0.0128587962962962)</f>
        <v>1.28587962962962E-2</v>
      </c>
      <c r="F26" s="1">
        <f ca="1">IFERROR(__xludf.DUMMYFUNCTION("""COMPUTED_VALUE"""),24)</f>
        <v>24</v>
      </c>
      <c r="G26" s="1" t="str">
        <f ca="1">IFERROR(__xludf.DUMMYFUNCTION("""COMPUTED_VALUE"""),"Frances Elliott")</f>
        <v>Frances Elliott</v>
      </c>
      <c r="H26" s="1" t="str">
        <f ca="1">IFERROR(__xludf.DUMMYFUNCTION("""COMPUTED_VALUE"""),"U13G")</f>
        <v>U13G</v>
      </c>
      <c r="I26" s="1" t="str">
        <f ca="1">IFERROR(__xludf.DUMMYFUNCTION("""COMPUTED_VALUE"""),"Gosforth Harriers AC")</f>
        <v>Gosforth Harriers AC</v>
      </c>
      <c r="J26" s="3">
        <f ca="1">IFERROR(__xludf.DUMMYFUNCTION("""COMPUTED_VALUE"""),0.00452546296296296)</f>
        <v>4.5254629629629603E-3</v>
      </c>
      <c r="K26" s="1">
        <f ca="1">IFERROR(__xludf.DUMMYFUNCTION("""COMPUTED_VALUE"""),24)</f>
        <v>24</v>
      </c>
      <c r="L26" s="1" t="str">
        <f ca="1">IFERROR(__xludf.DUMMYFUNCTION("""COMPUTED_VALUE"""),"Kate Semple")</f>
        <v>Kate Semple</v>
      </c>
      <c r="M26" s="1" t="str">
        <f ca="1">IFERROR(__xludf.DUMMYFUNCTION("""COMPUTED_VALUE"""),"F45")</f>
        <v>F45</v>
      </c>
      <c r="N26" s="1" t="str">
        <f ca="1">IFERROR(__xludf.DUMMYFUNCTION("""COMPUTED_VALUE"""),"Acorns AC")</f>
        <v>Acorns AC</v>
      </c>
      <c r="O26" s="3">
        <f ca="1">IFERROR(__xludf.DUMMYFUNCTION("""COMPUTED_VALUE"""),0.0147569444444444)</f>
        <v>1.4756944444444401E-2</v>
      </c>
      <c r="P26" s="1">
        <f ca="1">IFERROR(__xludf.DUMMYFUNCTION("""COMPUTED_VALUE"""),24)</f>
        <v>24</v>
      </c>
      <c r="Q26" s="1" t="str">
        <f ca="1">IFERROR(__xludf.DUMMYFUNCTION("""COMPUTED_VALUE"""),"Euan Monro")</f>
        <v>Euan Monro</v>
      </c>
      <c r="R26" s="1" t="str">
        <f ca="1">IFERROR(__xludf.DUMMYFUNCTION("""COMPUTED_VALUE"""),"U17B")</f>
        <v>U17B</v>
      </c>
      <c r="S26" s="1" t="str">
        <f ca="1">IFERROR(__xludf.DUMMYFUNCTION("""COMPUTED_VALUE"""),"Loughview AC")</f>
        <v>Loughview AC</v>
      </c>
      <c r="T26" s="3">
        <f ca="1">IFERROR(__xludf.DUMMYFUNCTION("""COMPUTED_VALUE"""),0.00872685185185185)</f>
        <v>8.7268518518518502E-3</v>
      </c>
      <c r="U26" s="1">
        <f ca="1">IFERROR(__xludf.DUMMYFUNCTION("""COMPUTED_VALUE"""),24)</f>
        <v>24</v>
      </c>
      <c r="V26" s="1" t="str">
        <f ca="1">IFERROR(__xludf.DUMMYFUNCTION("""COMPUTED_VALUE"""),"Dennis Scott")</f>
        <v>Dennis Scott</v>
      </c>
      <c r="W26" s="1" t="str">
        <f ca="1">IFERROR(__xludf.DUMMYFUNCTION("""COMPUTED_VALUE"""),"M35")</f>
        <v>M35</v>
      </c>
      <c r="X26" s="1" t="str">
        <f ca="1">IFERROR(__xludf.DUMMYFUNCTION("""COMPUTED_VALUE"""),"North Down AC")</f>
        <v>North Down AC</v>
      </c>
      <c r="Y26" s="3">
        <f ca="1">IFERROR(__xludf.DUMMYFUNCTION("""COMPUTED_VALUE"""),0.0160416666666666)</f>
        <v>1.60416666666666E-2</v>
      </c>
      <c r="Z26" s="1">
        <f ca="1">IFERROR(__xludf.DUMMYFUNCTION("""COMPUTED_VALUE"""),24)</f>
        <v>24</v>
      </c>
      <c r="AA26" s="1" t="str">
        <f ca="1">IFERROR(__xludf.DUMMYFUNCTION("""COMPUTED_VALUE"""),"Sinead Ohare")</f>
        <v>Sinead Ohare</v>
      </c>
      <c r="AB26" s="1" t="str">
        <f ca="1">IFERROR(__xludf.DUMMYFUNCTION("""COMPUTED_VALUE"""),"Mallusk Harriers")</f>
        <v>Mallusk Harriers</v>
      </c>
      <c r="AC26" s="3">
        <f ca="1">IFERROR(__xludf.DUMMYFUNCTION("""COMPUTED_VALUE"""),0.00587962962962963)</f>
        <v>5.8796296296296296E-3</v>
      </c>
      <c r="AD26" s="1">
        <f ca="1">IFERROR(__xludf.DUMMYFUNCTION("""COMPUTED_VALUE"""),24)</f>
        <v>24</v>
      </c>
      <c r="AE26" s="1" t="str">
        <f ca="1">IFERROR(__xludf.DUMMYFUNCTION("""COMPUTED_VALUE"""),"Dualta McGleenan")</f>
        <v>Dualta McGleenan</v>
      </c>
      <c r="AF26" s="1" t="str">
        <f ca="1">IFERROR(__xludf.DUMMYFUNCTION("""COMPUTED_VALUE"""),"North Belfast Harriers")</f>
        <v>North Belfast Harriers</v>
      </c>
      <c r="AG26" s="3">
        <f ca="1">IFERROR(__xludf.DUMMYFUNCTION("""COMPUTED_VALUE"""),0.00469907407407407)</f>
        <v>4.6990740740740699E-3</v>
      </c>
      <c r="AH26" s="1" t="str">
        <f ca="1">IFERROR(__xludf.DUMMYFUNCTION("""COMPUTED_VALUE""")," ")</f>
        <v xml:space="preserve"> </v>
      </c>
      <c r="AI26" s="1" t="str">
        <f ca="1">IFERROR(__xludf.DUMMYFUNCTION("""COMPUTED_VALUE""")," ")</f>
        <v xml:space="preserve"> </v>
      </c>
      <c r="AJ26" s="1" t="str">
        <f ca="1">IFERROR(__xludf.DUMMYFUNCTION("""COMPUTED_VALUE""")," ")</f>
        <v xml:space="preserve"> </v>
      </c>
      <c r="AK26" s="1" t="str">
        <f ca="1">IFERROR(__xludf.DUMMYFUNCTION("""COMPUTED_VALUE""")," ")</f>
        <v xml:space="preserve"> </v>
      </c>
      <c r="AL26" s="1" t="str">
        <f ca="1">IFERROR(__xludf.DUMMYFUNCTION("""COMPUTED_VALUE""")," ")</f>
        <v xml:space="preserve"> </v>
      </c>
      <c r="AM26" s="1" t="str">
        <f ca="1">IFERROR(__xludf.DUMMYFUNCTION("""COMPUTED_VALUE""")," ")</f>
        <v xml:space="preserve"> </v>
      </c>
      <c r="AN26" s="1" t="str">
        <f ca="1">IFERROR(__xludf.DUMMYFUNCTION("""COMPUTED_VALUE""")," ")</f>
        <v xml:space="preserve"> </v>
      </c>
      <c r="AO26" s="1" t="str">
        <f ca="1">IFERROR(__xludf.DUMMYFUNCTION("""COMPUTED_VALUE""")," ")</f>
        <v xml:space="preserve"> </v>
      </c>
      <c r="AP26" s="1" t="str">
        <f ca="1">IFERROR(__xludf.DUMMYFUNCTION("""COMPUTED_VALUE""")," ")</f>
        <v xml:space="preserve"> </v>
      </c>
      <c r="AQ26" s="1" t="str">
        <f ca="1">IFERROR(__xludf.DUMMYFUNCTION("""COMPUTED_VALUE""")," ")</f>
        <v xml:space="preserve"> </v>
      </c>
      <c r="AR26" s="1" t="str">
        <f ca="1">IFERROR(__xludf.DUMMYFUNCTION("""COMPUTED_VALUE""")," ")</f>
        <v xml:space="preserve"> </v>
      </c>
      <c r="AS26" s="1">
        <f ca="1">IFERROR(__xludf.DUMMYFUNCTION("""COMPUTED_VALUE"""),24)</f>
        <v>24</v>
      </c>
      <c r="AT26" s="1" t="str">
        <f ca="1">IFERROR(__xludf.DUMMYFUNCTION("""COMPUTED_VALUE"""),"Conor Mullen")</f>
        <v>Conor Mullen</v>
      </c>
      <c r="AU26" s="1" t="str">
        <f ca="1">IFERROR(__xludf.DUMMYFUNCTION("""COMPUTED_VALUE"""),"St Michael's Enniskillen")</f>
        <v>St Michael's Enniskillen</v>
      </c>
      <c r="AV26" s="3">
        <f ca="1">IFERROR(__xludf.DUMMYFUNCTION("""COMPUTED_VALUE"""),0.0102314814814814)</f>
        <v>1.02314814814814E-2</v>
      </c>
      <c r="AW26" s="1"/>
      <c r="AX26" s="1"/>
      <c r="AY26" s="1"/>
      <c r="AZ26" s="1"/>
      <c r="BA26" s="1" t="str">
        <f ca="1">IFERROR(__xludf.DUMMYFUNCTION("""COMPUTED_VALUE""")," ")</f>
        <v xml:space="preserve"> </v>
      </c>
      <c r="BB26" s="1" t="str">
        <f ca="1">IFERROR(__xludf.DUMMYFUNCTION("""COMPUTED_VALUE""")," ")</f>
        <v xml:space="preserve"> </v>
      </c>
      <c r="BC26" s="1" t="str">
        <f ca="1">IFERROR(__xludf.DUMMYFUNCTION("""COMPUTED_VALUE""")," ")</f>
        <v xml:space="preserve"> </v>
      </c>
      <c r="BD26" s="1" t="str">
        <f ca="1">IFERROR(__xludf.DUMMYFUNCTION("""COMPUTED_VALUE""")," ")</f>
        <v xml:space="preserve"> </v>
      </c>
      <c r="BE26" s="1"/>
      <c r="BF26" s="1"/>
      <c r="BG26" s="1"/>
      <c r="BH26" s="1"/>
      <c r="BI26" s="1"/>
      <c r="BJ26" s="1"/>
    </row>
    <row r="27" spans="1:62" x14ac:dyDescent="0.25">
      <c r="A27" s="1">
        <f ca="1">IFERROR(__xludf.DUMMYFUNCTION("""COMPUTED_VALUE"""),25)</f>
        <v>25</v>
      </c>
      <c r="B27" s="1" t="str">
        <f ca="1">IFERROR(__xludf.DUMMYFUNCTION("""COMPUTED_VALUE"""),"Evan Evans")</f>
        <v>Evan Evans</v>
      </c>
      <c r="C27" s="1" t="str">
        <f ca="1">IFERROR(__xludf.DUMMYFUNCTION("""COMPUTED_VALUE"""),"M35")</f>
        <v>M35</v>
      </c>
      <c r="D27" s="1" t="str">
        <f ca="1">IFERROR(__xludf.DUMMYFUNCTION("""COMPUTED_VALUE"""),"Dromore AC")</f>
        <v>Dromore AC</v>
      </c>
      <c r="E27" s="3">
        <f ca="1">IFERROR(__xludf.DUMMYFUNCTION("""COMPUTED_VALUE"""),0.0128703703703703)</f>
        <v>1.2870370370370299E-2</v>
      </c>
      <c r="F27" s="1">
        <f ca="1">IFERROR(__xludf.DUMMYFUNCTION("""COMPUTED_VALUE"""),25)</f>
        <v>25</v>
      </c>
      <c r="G27" s="1" t="str">
        <f ca="1">IFERROR(__xludf.DUMMYFUNCTION("""COMPUTED_VALUE"""),"Cecily Park")</f>
        <v>Cecily Park</v>
      </c>
      <c r="H27" s="1" t="str">
        <f ca="1">IFERROR(__xludf.DUMMYFUNCTION("""COMPUTED_VALUE"""),"U13G")</f>
        <v>U13G</v>
      </c>
      <c r="I27" s="1" t="str">
        <f ca="1">IFERROR(__xludf.DUMMYFUNCTION("""COMPUTED_VALUE"""),"Willowfield Harriers")</f>
        <v>Willowfield Harriers</v>
      </c>
      <c r="J27" s="3">
        <f ca="1">IFERROR(__xludf.DUMMYFUNCTION("""COMPUTED_VALUE"""),0.00458333333333333)</f>
        <v>4.5833333333333299E-3</v>
      </c>
      <c r="K27" s="1">
        <f ca="1">IFERROR(__xludf.DUMMYFUNCTION("""COMPUTED_VALUE"""),25)</f>
        <v>25</v>
      </c>
      <c r="L27" s="1" t="str">
        <f ca="1">IFERROR(__xludf.DUMMYFUNCTION("""COMPUTED_VALUE"""),"Geraldine Quigley")</f>
        <v>Geraldine Quigley</v>
      </c>
      <c r="M27" s="1" t="str">
        <f ca="1">IFERROR(__xludf.DUMMYFUNCTION("""COMPUTED_VALUE"""),"F45")</f>
        <v>F45</v>
      </c>
      <c r="N27" s="1" t="str">
        <f ca="1">IFERROR(__xludf.DUMMYFUNCTION("""COMPUTED_VALUE"""),"Ballymena Runners")</f>
        <v>Ballymena Runners</v>
      </c>
      <c r="O27" s="3">
        <f ca="1">IFERROR(__xludf.DUMMYFUNCTION("""COMPUTED_VALUE"""),0.0148148148148148)</f>
        <v>1.48148148148148E-2</v>
      </c>
      <c r="P27" s="1">
        <f ca="1">IFERROR(__xludf.DUMMYFUNCTION("""COMPUTED_VALUE"""),25)</f>
        <v>25</v>
      </c>
      <c r="Q27" s="1" t="str">
        <f ca="1">IFERROR(__xludf.DUMMYFUNCTION("""COMPUTED_VALUE"""),"Tom Mc Mahon")</f>
        <v>Tom Mc Mahon</v>
      </c>
      <c r="R27" s="1" t="str">
        <f ca="1">IFERROR(__xludf.DUMMYFUNCTION("""COMPUTED_VALUE"""),"U15B")</f>
        <v>U15B</v>
      </c>
      <c r="S27" s="1" t="str">
        <f ca="1">IFERROR(__xludf.DUMMYFUNCTION("""COMPUTED_VALUE"""),"St Michael's Enniskillen")</f>
        <v>St Michael's Enniskillen</v>
      </c>
      <c r="T27" s="3">
        <f ca="1">IFERROR(__xludf.DUMMYFUNCTION("""COMPUTED_VALUE"""),0.00875)</f>
        <v>8.7500000000000008E-3</v>
      </c>
      <c r="U27" s="1">
        <f ca="1">IFERROR(__xludf.DUMMYFUNCTION("""COMPUTED_VALUE"""),25)</f>
        <v>25</v>
      </c>
      <c r="V27" s="1" t="str">
        <f ca="1">IFERROR(__xludf.DUMMYFUNCTION("""COMPUTED_VALUE"""),"Garry Morrow")</f>
        <v>Garry Morrow</v>
      </c>
      <c r="W27" s="1" t="str">
        <f ca="1">IFERROR(__xludf.DUMMYFUNCTION("""COMPUTED_VALUE"""),"M35")</f>
        <v>M35</v>
      </c>
      <c r="X27" s="1" t="str">
        <f ca="1">IFERROR(__xludf.DUMMYFUNCTION("""COMPUTED_VALUE"""),"Willowfield Harriers")</f>
        <v>Willowfield Harriers</v>
      </c>
      <c r="Y27" s="3">
        <f ca="1">IFERROR(__xludf.DUMMYFUNCTION("""COMPUTED_VALUE"""),0.0161921296296296)</f>
        <v>1.6192129629629601E-2</v>
      </c>
      <c r="Z27" s="1">
        <f ca="1">IFERROR(__xludf.DUMMYFUNCTION("""COMPUTED_VALUE"""),25)</f>
        <v>25</v>
      </c>
      <c r="AA27" s="1" t="str">
        <f ca="1">IFERROR(__xludf.DUMMYFUNCTION("""COMPUTED_VALUE"""),"Katy Hendron")</f>
        <v>Katy Hendron</v>
      </c>
      <c r="AB27" s="1" t="str">
        <f ca="1">IFERROR(__xludf.DUMMYFUNCTION("""COMPUTED_VALUE"""),"Willowfield Harriers")</f>
        <v>Willowfield Harriers</v>
      </c>
      <c r="AC27" s="3">
        <f ca="1">IFERROR(__xludf.DUMMYFUNCTION("""COMPUTED_VALUE"""),0.00622685185185185)</f>
        <v>6.2268518518518497E-3</v>
      </c>
      <c r="AD27" s="1">
        <f ca="1">IFERROR(__xludf.DUMMYFUNCTION("""COMPUTED_VALUE"""),25)</f>
        <v>25</v>
      </c>
      <c r="AE27" s="1" t="str">
        <f ca="1">IFERROR(__xludf.DUMMYFUNCTION("""COMPUTED_VALUE"""),"Paul Cox")</f>
        <v>Paul Cox</v>
      </c>
      <c r="AF27" s="1" t="str">
        <f ca="1">IFERROR(__xludf.DUMMYFUNCTION("""COMPUTED_VALUE"""),"St Michael's Enniskillen")</f>
        <v>St Michael's Enniskillen</v>
      </c>
      <c r="AG27" s="3">
        <f ca="1">IFERROR(__xludf.DUMMYFUNCTION("""COMPUTED_VALUE"""),0.00472222222222222)</f>
        <v>4.7222222222222197E-3</v>
      </c>
      <c r="AH27" s="1" t="str">
        <f ca="1">IFERROR(__xludf.DUMMYFUNCTION("""COMPUTED_VALUE""")," ")</f>
        <v xml:space="preserve"> </v>
      </c>
      <c r="AI27" s="1" t="str">
        <f ca="1">IFERROR(__xludf.DUMMYFUNCTION("""COMPUTED_VALUE""")," ")</f>
        <v xml:space="preserve"> </v>
      </c>
      <c r="AJ27" s="1" t="str">
        <f ca="1">IFERROR(__xludf.DUMMYFUNCTION("""COMPUTED_VALUE""")," ")</f>
        <v xml:space="preserve"> </v>
      </c>
      <c r="AK27" s="1" t="str">
        <f ca="1">IFERROR(__xludf.DUMMYFUNCTION("""COMPUTED_VALUE""")," ")</f>
        <v xml:space="preserve"> </v>
      </c>
      <c r="AL27" s="1" t="str">
        <f ca="1">IFERROR(__xludf.DUMMYFUNCTION("""COMPUTED_VALUE""")," ")</f>
        <v xml:space="preserve"> </v>
      </c>
      <c r="AM27" s="1" t="str">
        <f ca="1">IFERROR(__xludf.DUMMYFUNCTION("""COMPUTED_VALUE""")," ")</f>
        <v xml:space="preserve"> </v>
      </c>
      <c r="AN27" s="1" t="str">
        <f ca="1">IFERROR(__xludf.DUMMYFUNCTION("""COMPUTED_VALUE""")," ")</f>
        <v xml:space="preserve"> </v>
      </c>
      <c r="AO27" s="1" t="str">
        <f ca="1">IFERROR(__xludf.DUMMYFUNCTION("""COMPUTED_VALUE""")," ")</f>
        <v xml:space="preserve"> </v>
      </c>
      <c r="AP27" s="1" t="str">
        <f ca="1">IFERROR(__xludf.DUMMYFUNCTION("""COMPUTED_VALUE""")," ")</f>
        <v xml:space="preserve"> </v>
      </c>
      <c r="AQ27" s="1" t="str">
        <f ca="1">IFERROR(__xludf.DUMMYFUNCTION("""COMPUTED_VALUE""")," ")</f>
        <v xml:space="preserve"> </v>
      </c>
      <c r="AR27" s="1" t="str">
        <f ca="1">IFERROR(__xludf.DUMMYFUNCTION("""COMPUTED_VALUE""")," ")</f>
        <v xml:space="preserve"> </v>
      </c>
      <c r="AS27" s="1">
        <f ca="1">IFERROR(__xludf.DUMMYFUNCTION("""COMPUTED_VALUE"""),25)</f>
        <v>25</v>
      </c>
      <c r="AT27" s="1" t="str">
        <f ca="1">IFERROR(__xludf.DUMMYFUNCTION("""COMPUTED_VALUE"""),"Riley Hannah")</f>
        <v>Riley Hannah</v>
      </c>
      <c r="AU27" s="1" t="str">
        <f ca="1">IFERROR(__xludf.DUMMYFUNCTION("""COMPUTED_VALUE"""),"Scrabo Striders")</f>
        <v>Scrabo Striders</v>
      </c>
      <c r="AV27" s="3">
        <f ca="1">IFERROR(__xludf.DUMMYFUNCTION("""COMPUTED_VALUE"""),0.0110879629629629)</f>
        <v>1.10879629629629E-2</v>
      </c>
      <c r="AW27" s="1"/>
      <c r="AX27" s="1"/>
      <c r="AY27" s="1"/>
      <c r="AZ27" s="1"/>
      <c r="BA27" s="1" t="str">
        <f ca="1">IFERROR(__xludf.DUMMYFUNCTION("""COMPUTED_VALUE""")," ")</f>
        <v xml:space="preserve"> </v>
      </c>
      <c r="BB27" s="1" t="str">
        <f ca="1">IFERROR(__xludf.DUMMYFUNCTION("""COMPUTED_VALUE""")," ")</f>
        <v xml:space="preserve"> </v>
      </c>
      <c r="BC27" s="1" t="str">
        <f ca="1">IFERROR(__xludf.DUMMYFUNCTION("""COMPUTED_VALUE""")," ")</f>
        <v xml:space="preserve"> </v>
      </c>
      <c r="BD27" s="1" t="str">
        <f ca="1">IFERROR(__xludf.DUMMYFUNCTION("""COMPUTED_VALUE""")," ")</f>
        <v xml:space="preserve"> </v>
      </c>
      <c r="BE27" s="1" t="str">
        <f ca="1">IFERROR(__xludf.DUMMYFUNCTION("""COMPUTED_VALUE"""),"M70")</f>
        <v>M70</v>
      </c>
      <c r="BF27" s="1"/>
      <c r="BG27" s="1"/>
      <c r="BH27" s="1" t="str">
        <f ca="1">IFERROR(__xludf.DUMMYFUNCTION("""COMPUTED_VALUE"""),"F65")</f>
        <v>F65</v>
      </c>
      <c r="BI27" s="1"/>
      <c r="BJ27" s="1"/>
    </row>
    <row r="28" spans="1:62" x14ac:dyDescent="0.25">
      <c r="A28" s="1">
        <f ca="1">IFERROR(__xludf.DUMMYFUNCTION("""COMPUTED_VALUE"""),26)</f>
        <v>26</v>
      </c>
      <c r="B28" s="1" t="str">
        <f ca="1">IFERROR(__xludf.DUMMYFUNCTION("""COMPUTED_VALUE"""),"David Massey")</f>
        <v>David Massey</v>
      </c>
      <c r="C28" s="1" t="str">
        <f ca="1">IFERROR(__xludf.DUMMYFUNCTION("""COMPUTED_VALUE"""),"M45")</f>
        <v>M45</v>
      </c>
      <c r="D28" s="1" t="str">
        <f ca="1">IFERROR(__xludf.DUMMYFUNCTION("""COMPUTED_VALUE"""),"North Down AC")</f>
        <v>North Down AC</v>
      </c>
      <c r="E28" s="3">
        <f ca="1">IFERROR(__xludf.DUMMYFUNCTION("""COMPUTED_VALUE"""),0.0128935185185185)</f>
        <v>1.28935185185185E-2</v>
      </c>
      <c r="F28" s="1">
        <f ca="1">IFERROR(__xludf.DUMMYFUNCTION("""COMPUTED_VALUE"""),26)</f>
        <v>26</v>
      </c>
      <c r="G28" s="1" t="str">
        <f ca="1">IFERROR(__xludf.DUMMYFUNCTION("""COMPUTED_VALUE"""),"Nathan Coyle")</f>
        <v>Nathan Coyle</v>
      </c>
      <c r="H28" s="1" t="str">
        <f ca="1">IFERROR(__xludf.DUMMYFUNCTION("""COMPUTED_VALUE"""),"U13B")</f>
        <v>U13B</v>
      </c>
      <c r="I28" s="1" t="str">
        <f ca="1">IFERROR(__xludf.DUMMYFUNCTION("""COMPUTED_VALUE"""),"St Michael's Enniskillen")</f>
        <v>St Michael's Enniskillen</v>
      </c>
      <c r="J28" s="3">
        <f ca="1">IFERROR(__xludf.DUMMYFUNCTION("""COMPUTED_VALUE"""),0.0045949074074074)</f>
        <v>4.5949074074074E-3</v>
      </c>
      <c r="K28" s="1">
        <f ca="1">IFERROR(__xludf.DUMMYFUNCTION("""COMPUTED_VALUE"""),26)</f>
        <v>26</v>
      </c>
      <c r="L28" s="1" t="str">
        <f ca="1">IFERROR(__xludf.DUMMYFUNCTION("""COMPUTED_VALUE"""),"Mary Slocum")</f>
        <v>Mary Slocum</v>
      </c>
      <c r="M28" s="1" t="str">
        <f ca="1">IFERROR(__xludf.DUMMYFUNCTION("""COMPUTED_VALUE"""),"F55")</f>
        <v>F55</v>
      </c>
      <c r="N28" s="1" t="str">
        <f ca="1">IFERROR(__xludf.DUMMYFUNCTION("""COMPUTED_VALUE"""),"Wardparkrunners")</f>
        <v>Wardparkrunners</v>
      </c>
      <c r="O28" s="3">
        <f ca="1">IFERROR(__xludf.DUMMYFUNCTION("""COMPUTED_VALUE"""),0.0148148148148148)</f>
        <v>1.48148148148148E-2</v>
      </c>
      <c r="P28" s="1">
        <f ca="1">IFERROR(__xludf.DUMMYFUNCTION("""COMPUTED_VALUE"""),26)</f>
        <v>26</v>
      </c>
      <c r="Q28" s="1" t="str">
        <f ca="1">IFERROR(__xludf.DUMMYFUNCTION("""COMPUTED_VALUE"""),"Jude McGann")</f>
        <v>Jude McGann</v>
      </c>
      <c r="R28" s="1" t="str">
        <f ca="1">IFERROR(__xludf.DUMMYFUNCTION("""COMPUTED_VALUE"""),"U15B")</f>
        <v>U15B</v>
      </c>
      <c r="S28" s="1" t="str">
        <f ca="1">IFERROR(__xludf.DUMMYFUNCTION("""COMPUTED_VALUE"""),"Lagan Valley AC")</f>
        <v>Lagan Valley AC</v>
      </c>
      <c r="T28" s="3">
        <f ca="1">IFERROR(__xludf.DUMMYFUNCTION("""COMPUTED_VALUE"""),0.00884259259259259)</f>
        <v>8.8425925925925894E-3</v>
      </c>
      <c r="U28" s="1">
        <f ca="1">IFERROR(__xludf.DUMMYFUNCTION("""COMPUTED_VALUE"""),26)</f>
        <v>26</v>
      </c>
      <c r="V28" s="1" t="str">
        <f ca="1">IFERROR(__xludf.DUMMYFUNCTION("""COMPUTED_VALUE"""),"Ed Cooke")</f>
        <v>Ed Cooke</v>
      </c>
      <c r="W28" s="1" t="str">
        <f ca="1">IFERROR(__xludf.DUMMYFUNCTION("""COMPUTED_VALUE"""),"M35")</f>
        <v>M35</v>
      </c>
      <c r="X28" s="1" t="str">
        <f ca="1">IFERROR(__xludf.DUMMYFUNCTION("""COMPUTED_VALUE"""),"Annadale Striders")</f>
        <v>Annadale Striders</v>
      </c>
      <c r="Y28" s="3">
        <f ca="1">IFERROR(__xludf.DUMMYFUNCTION("""COMPUTED_VALUE"""),0.0162731481481481)</f>
        <v>1.6273148148148099E-2</v>
      </c>
      <c r="Z28" s="1">
        <f ca="1">IFERROR(__xludf.DUMMYFUNCTION("""COMPUTED_VALUE"""),26)</f>
        <v>26</v>
      </c>
      <c r="AA28" s="1" t="str">
        <f ca="1">IFERROR(__xludf.DUMMYFUNCTION("""COMPUTED_VALUE"""),"Niamh Lemon")</f>
        <v>Niamh Lemon</v>
      </c>
      <c r="AB28" s="1" t="str">
        <f ca="1">IFERROR(__xludf.DUMMYFUNCTION("""COMPUTED_VALUE"""),"Willowfield Harriers")</f>
        <v>Willowfield Harriers</v>
      </c>
      <c r="AC28" s="3">
        <f ca="1">IFERROR(__xludf.DUMMYFUNCTION("""COMPUTED_VALUE"""),0.00623842592592592)</f>
        <v>6.2384259259259198E-3</v>
      </c>
      <c r="AD28" s="1">
        <f ca="1">IFERROR(__xludf.DUMMYFUNCTION("""COMPUTED_VALUE"""),26)</f>
        <v>26</v>
      </c>
      <c r="AE28" s="1" t="str">
        <f ca="1">IFERROR(__xludf.DUMMYFUNCTION("""COMPUTED_VALUE"""),"Luke Braniff")</f>
        <v>Luke Braniff</v>
      </c>
      <c r="AF28" s="1" t="str">
        <f ca="1">IFERROR(__xludf.DUMMYFUNCTION("""COMPUTED_VALUE"""),"Scrabo Striders")</f>
        <v>Scrabo Striders</v>
      </c>
      <c r="AG28" s="3">
        <f ca="1">IFERROR(__xludf.DUMMYFUNCTION("""COMPUTED_VALUE"""),0.00473379629629629)</f>
        <v>4.7337962962962898E-3</v>
      </c>
      <c r="AH28" s="1" t="str">
        <f ca="1">IFERROR(__xludf.DUMMYFUNCTION("""COMPUTED_VALUE""")," ")</f>
        <v xml:space="preserve"> </v>
      </c>
      <c r="AI28" s="1" t="str">
        <f ca="1">IFERROR(__xludf.DUMMYFUNCTION("""COMPUTED_VALUE""")," ")</f>
        <v xml:space="preserve"> </v>
      </c>
      <c r="AJ28" s="1" t="str">
        <f ca="1">IFERROR(__xludf.DUMMYFUNCTION("""COMPUTED_VALUE""")," ")</f>
        <v xml:space="preserve"> </v>
      </c>
      <c r="AK28" s="1" t="str">
        <f ca="1">IFERROR(__xludf.DUMMYFUNCTION("""COMPUTED_VALUE""")," ")</f>
        <v xml:space="preserve"> </v>
      </c>
      <c r="AL28" s="1" t="str">
        <f ca="1">IFERROR(__xludf.DUMMYFUNCTION("""COMPUTED_VALUE""")," ")</f>
        <v xml:space="preserve"> </v>
      </c>
      <c r="AM28" s="1" t="str">
        <f ca="1">IFERROR(__xludf.DUMMYFUNCTION("""COMPUTED_VALUE""")," ")</f>
        <v xml:space="preserve"> </v>
      </c>
      <c r="AN28" s="1" t="str">
        <f ca="1">IFERROR(__xludf.DUMMYFUNCTION("""COMPUTED_VALUE""")," ")</f>
        <v xml:space="preserve"> </v>
      </c>
      <c r="AO28" s="1" t="str">
        <f ca="1">IFERROR(__xludf.DUMMYFUNCTION("""COMPUTED_VALUE""")," ")</f>
        <v xml:space="preserve"> </v>
      </c>
      <c r="AP28" s="1" t="str">
        <f ca="1">IFERROR(__xludf.DUMMYFUNCTION("""COMPUTED_VALUE""")," ")</f>
        <v xml:space="preserve"> </v>
      </c>
      <c r="AQ28" s="1" t="str">
        <f ca="1">IFERROR(__xludf.DUMMYFUNCTION("""COMPUTED_VALUE""")," ")</f>
        <v xml:space="preserve"> </v>
      </c>
      <c r="AR28" s="1" t="str">
        <f ca="1">IFERROR(__xludf.DUMMYFUNCTION("""COMPUTED_VALUE""")," ")</f>
        <v xml:space="preserve"> </v>
      </c>
      <c r="AS28" s="1">
        <f ca="1">IFERROR(__xludf.DUMMYFUNCTION("""COMPUTED_VALUE"""),26)</f>
        <v>26</v>
      </c>
      <c r="AT28" s="1" t="str">
        <f ca="1">IFERROR(__xludf.DUMMYFUNCTION("""COMPUTED_VALUE"""),"Finn Loughlin")</f>
        <v>Finn Loughlin</v>
      </c>
      <c r="AU28" s="1" t="str">
        <f ca="1">IFERROR(__xludf.DUMMYFUNCTION("""COMPUTED_VALUE"""),"Scrabo Striders")</f>
        <v>Scrabo Striders</v>
      </c>
      <c r="AV28" s="3">
        <f ca="1">IFERROR(__xludf.DUMMYFUNCTION("""COMPUTED_VALUE"""),0.0141550925925925)</f>
        <v>1.41550925925925E-2</v>
      </c>
      <c r="AW28" s="1"/>
      <c r="AX28" s="1"/>
      <c r="AY28" s="1"/>
      <c r="AZ28" s="1"/>
      <c r="BA28" s="1" t="str">
        <f ca="1">IFERROR(__xludf.DUMMYFUNCTION("""COMPUTED_VALUE""")," ")</f>
        <v xml:space="preserve"> </v>
      </c>
      <c r="BB28" s="1" t="str">
        <f ca="1">IFERROR(__xludf.DUMMYFUNCTION("""COMPUTED_VALUE""")," ")</f>
        <v xml:space="preserve"> </v>
      </c>
      <c r="BC28" s="1" t="str">
        <f ca="1">IFERROR(__xludf.DUMMYFUNCTION("""COMPUTED_VALUE""")," ")</f>
        <v xml:space="preserve"> </v>
      </c>
      <c r="BD28" s="1" t="str">
        <f ca="1">IFERROR(__xludf.DUMMYFUNCTION("""COMPUTED_VALUE""")," ")</f>
        <v xml:space="preserve"> </v>
      </c>
      <c r="BE28" s="1">
        <f ca="1">IFERROR(__xludf.DUMMYFUNCTION("""COMPUTED_VALUE"""),1)</f>
        <v>1</v>
      </c>
      <c r="BF28" s="1" t="str">
        <f ca="1">IFERROR(__xludf.DUMMYFUNCTION("""COMPUTED_VALUE"""),"Brian Stewart")</f>
        <v>Brian Stewart</v>
      </c>
      <c r="BG28" s="1" t="str">
        <f ca="1">IFERROR(__xludf.DUMMYFUNCTION("""COMPUTED_VALUE"""),"North Belfast Harriers")</f>
        <v>North Belfast Harriers</v>
      </c>
      <c r="BH28" s="1">
        <f ca="1">IFERROR(__xludf.DUMMYFUNCTION("""COMPUTED_VALUE"""),1)</f>
        <v>1</v>
      </c>
      <c r="BI28" s="1" t="str">
        <f ca="1">IFERROR(__xludf.DUMMYFUNCTION("""COMPUTED_VALUE"""),"Brigid Quinn")</f>
        <v>Brigid Quinn</v>
      </c>
      <c r="BJ28" s="1" t="str">
        <f ca="1">IFERROR(__xludf.DUMMYFUNCTION("""COMPUTED_VALUE"""),"Ballymena Runners")</f>
        <v>Ballymena Runners</v>
      </c>
    </row>
    <row r="29" spans="1:62" x14ac:dyDescent="0.25">
      <c r="A29" s="1">
        <f ca="1">IFERROR(__xludf.DUMMYFUNCTION("""COMPUTED_VALUE"""),27)</f>
        <v>27</v>
      </c>
      <c r="B29" s="1" t="str">
        <f ca="1">IFERROR(__xludf.DUMMYFUNCTION("""COMPUTED_VALUE"""),"Vincent McCaffrey")</f>
        <v>Vincent McCaffrey</v>
      </c>
      <c r="C29" s="1" t="str">
        <f ca="1">IFERROR(__xludf.DUMMYFUNCTION("""COMPUTED_VALUE"""),"M55")</f>
        <v>M55</v>
      </c>
      <c r="D29" s="1" t="str">
        <f ca="1">IFERROR(__xludf.DUMMYFUNCTION("""COMPUTED_VALUE"""),"PACE Running Club")</f>
        <v>PACE Running Club</v>
      </c>
      <c r="E29" s="3">
        <f ca="1">IFERROR(__xludf.DUMMYFUNCTION("""COMPUTED_VALUE"""),0.0129050925925925)</f>
        <v>1.2905092592592499E-2</v>
      </c>
      <c r="F29" s="1">
        <f ca="1">IFERROR(__xludf.DUMMYFUNCTION("""COMPUTED_VALUE"""),27)</f>
        <v>27</v>
      </c>
      <c r="G29" s="1" t="str">
        <f ca="1">IFERROR(__xludf.DUMMYFUNCTION("""COMPUTED_VALUE"""),"Holly Heron")</f>
        <v>Holly Heron</v>
      </c>
      <c r="H29" s="1" t="str">
        <f ca="1">IFERROR(__xludf.DUMMYFUNCTION("""COMPUTED_VALUE"""),"U13G")</f>
        <v>U13G</v>
      </c>
      <c r="I29" s="1" t="str">
        <f ca="1">IFERROR(__xludf.DUMMYFUNCTION("""COMPUTED_VALUE"""),"Loughview AC")</f>
        <v>Loughview AC</v>
      </c>
      <c r="J29" s="3">
        <f ca="1">IFERROR(__xludf.DUMMYFUNCTION("""COMPUTED_VALUE"""),0.0045949074074074)</f>
        <v>4.5949074074074E-3</v>
      </c>
      <c r="K29" s="1">
        <f ca="1">IFERROR(__xludf.DUMMYFUNCTION("""COMPUTED_VALUE"""),27)</f>
        <v>27</v>
      </c>
      <c r="L29" s="1" t="str">
        <f ca="1">IFERROR(__xludf.DUMMYFUNCTION("""COMPUTED_VALUE"""),"Judith Worthington")</f>
        <v>Judith Worthington</v>
      </c>
      <c r="M29" s="1" t="str">
        <f ca="1">IFERROR(__xludf.DUMMYFUNCTION("""COMPUTED_VALUE"""),"F40")</f>
        <v>F40</v>
      </c>
      <c r="N29" s="1" t="str">
        <f ca="1">IFERROR(__xludf.DUMMYFUNCTION("""COMPUTED_VALUE"""),"Ballymena Runners")</f>
        <v>Ballymena Runners</v>
      </c>
      <c r="O29" s="3">
        <f ca="1">IFERROR(__xludf.DUMMYFUNCTION("""COMPUTED_VALUE"""),0.0148263888888888)</f>
        <v>1.48263888888888E-2</v>
      </c>
      <c r="P29" s="1">
        <f ca="1">IFERROR(__xludf.DUMMYFUNCTION("""COMPUTED_VALUE"""),27)</f>
        <v>27</v>
      </c>
      <c r="Q29" s="1" t="str">
        <f ca="1">IFERROR(__xludf.DUMMYFUNCTION("""COMPUTED_VALUE"""),"Aaron Lennon")</f>
        <v>Aaron Lennon</v>
      </c>
      <c r="R29" s="1" t="str">
        <f ca="1">IFERROR(__xludf.DUMMYFUNCTION("""COMPUTED_VALUE"""),"U15B")</f>
        <v>U15B</v>
      </c>
      <c r="S29" s="1" t="str">
        <f ca="1">IFERROR(__xludf.DUMMYFUNCTION("""COMPUTED_VALUE"""),"East Down AC")</f>
        <v>East Down AC</v>
      </c>
      <c r="T29" s="3">
        <f ca="1">IFERROR(__xludf.DUMMYFUNCTION("""COMPUTED_VALUE"""),0.00886574074074074)</f>
        <v>8.86574074074074E-3</v>
      </c>
      <c r="U29" s="1">
        <f ca="1">IFERROR(__xludf.DUMMYFUNCTION("""COMPUTED_VALUE"""),27)</f>
        <v>27</v>
      </c>
      <c r="V29" s="1" t="str">
        <f ca="1">IFERROR(__xludf.DUMMYFUNCTION("""COMPUTED_VALUE"""),"Matthew Carville")</f>
        <v>Matthew Carville</v>
      </c>
      <c r="W29" s="1" t="str">
        <f ca="1">IFERROR(__xludf.DUMMYFUNCTION("""COMPUTED_VALUE"""),"MJ")</f>
        <v>MJ</v>
      </c>
      <c r="X29" s="1" t="str">
        <f ca="1">IFERROR(__xludf.DUMMYFUNCTION("""COMPUTED_VALUE"""),"Ballydrain Harriers")</f>
        <v>Ballydrain Harriers</v>
      </c>
      <c r="Y29" s="3">
        <f ca="1">IFERROR(__xludf.DUMMYFUNCTION("""COMPUTED_VALUE"""),0.0164583333333333)</f>
        <v>1.6458333333333301E-2</v>
      </c>
      <c r="Z29" s="1" t="str">
        <f ca="1">IFERROR(__xludf.DUMMYFUNCTION("""COMPUTED_VALUE""")," ")</f>
        <v xml:space="preserve"> </v>
      </c>
      <c r="AA29" s="1" t="str">
        <f ca="1">IFERROR(__xludf.DUMMYFUNCTION("""COMPUTED_VALUE""")," ")</f>
        <v xml:space="preserve"> </v>
      </c>
      <c r="AB29" s="1" t="str">
        <f ca="1">IFERROR(__xludf.DUMMYFUNCTION("""COMPUTED_VALUE""")," ")</f>
        <v xml:space="preserve"> </v>
      </c>
      <c r="AC29" s="1" t="str">
        <f ca="1">IFERROR(__xludf.DUMMYFUNCTION("""COMPUTED_VALUE""")," ")</f>
        <v xml:space="preserve"> </v>
      </c>
      <c r="AD29" s="1">
        <f ca="1">IFERROR(__xludf.DUMMYFUNCTION("""COMPUTED_VALUE"""),27)</f>
        <v>27</v>
      </c>
      <c r="AE29" s="1" t="str">
        <f ca="1">IFERROR(__xludf.DUMMYFUNCTION("""COMPUTED_VALUE"""),"Nicholas Boyd")</f>
        <v>Nicholas Boyd</v>
      </c>
      <c r="AF29" s="1" t="str">
        <f ca="1">IFERROR(__xludf.DUMMYFUNCTION("""COMPUTED_VALUE"""),"Willowfield Harriers")</f>
        <v>Willowfield Harriers</v>
      </c>
      <c r="AG29" s="3">
        <f ca="1">IFERROR(__xludf.DUMMYFUNCTION("""COMPUTED_VALUE"""),0.00475694444444444)</f>
        <v>4.7569444444444404E-3</v>
      </c>
      <c r="AH29" s="1" t="str">
        <f ca="1">IFERROR(__xludf.DUMMYFUNCTION("""COMPUTED_VALUE""")," ")</f>
        <v xml:space="preserve"> </v>
      </c>
      <c r="AI29" s="1" t="str">
        <f ca="1">IFERROR(__xludf.DUMMYFUNCTION("""COMPUTED_VALUE""")," ")</f>
        <v xml:space="preserve"> </v>
      </c>
      <c r="AJ29" s="1" t="str">
        <f ca="1">IFERROR(__xludf.DUMMYFUNCTION("""COMPUTED_VALUE""")," ")</f>
        <v xml:space="preserve"> </v>
      </c>
      <c r="AK29" s="1" t="str">
        <f ca="1">IFERROR(__xludf.DUMMYFUNCTION("""COMPUTED_VALUE""")," ")</f>
        <v xml:space="preserve"> </v>
      </c>
      <c r="AL29" s="1" t="str">
        <f ca="1">IFERROR(__xludf.DUMMYFUNCTION("""COMPUTED_VALUE""")," ")</f>
        <v xml:space="preserve"> </v>
      </c>
      <c r="AM29" s="1" t="str">
        <f ca="1">IFERROR(__xludf.DUMMYFUNCTION("""COMPUTED_VALUE""")," ")</f>
        <v xml:space="preserve"> </v>
      </c>
      <c r="AN29" s="1" t="str">
        <f ca="1">IFERROR(__xludf.DUMMYFUNCTION("""COMPUTED_VALUE""")," ")</f>
        <v xml:space="preserve"> </v>
      </c>
      <c r="AO29" s="1" t="str">
        <f ca="1">IFERROR(__xludf.DUMMYFUNCTION("""COMPUTED_VALUE""")," ")</f>
        <v xml:space="preserve"> </v>
      </c>
      <c r="AP29" s="1" t="str">
        <f ca="1">IFERROR(__xludf.DUMMYFUNCTION("""COMPUTED_VALUE""")," ")</f>
        <v xml:space="preserve"> </v>
      </c>
      <c r="AQ29" s="1" t="str">
        <f ca="1">IFERROR(__xludf.DUMMYFUNCTION("""COMPUTED_VALUE""")," ")</f>
        <v xml:space="preserve"> </v>
      </c>
      <c r="AR29" s="1" t="str">
        <f ca="1">IFERROR(__xludf.DUMMYFUNCTION("""COMPUTED_VALUE""")," ")</f>
        <v xml:space="preserve"> </v>
      </c>
      <c r="AS29" s="1" t="str">
        <f ca="1">IFERROR(__xludf.DUMMYFUNCTION("""COMPUTED_VALUE""")," ")</f>
        <v xml:space="preserve"> </v>
      </c>
      <c r="AT29" s="1" t="str">
        <f ca="1">IFERROR(__xludf.DUMMYFUNCTION("""COMPUTED_VALUE""")," ")</f>
        <v xml:space="preserve"> </v>
      </c>
      <c r="AU29" s="1" t="str">
        <f ca="1">IFERROR(__xludf.DUMMYFUNCTION("""COMPUTED_VALUE""")," ")</f>
        <v xml:space="preserve"> </v>
      </c>
      <c r="AV29" s="1" t="str">
        <f ca="1">IFERROR(__xludf.DUMMYFUNCTION("""COMPUTED_VALUE""")," ")</f>
        <v xml:space="preserve"> </v>
      </c>
      <c r="AW29" s="1"/>
      <c r="AX29" s="1"/>
      <c r="AY29" s="1"/>
      <c r="AZ29" s="1"/>
      <c r="BA29" s="1" t="str">
        <f ca="1">IFERROR(__xludf.DUMMYFUNCTION("""COMPUTED_VALUE""")," ")</f>
        <v xml:space="preserve"> </v>
      </c>
      <c r="BB29" s="1" t="str">
        <f ca="1">IFERROR(__xludf.DUMMYFUNCTION("""COMPUTED_VALUE""")," ")</f>
        <v xml:space="preserve"> </v>
      </c>
      <c r="BC29" s="1" t="str">
        <f ca="1">IFERROR(__xludf.DUMMYFUNCTION("""COMPUTED_VALUE""")," ")</f>
        <v xml:space="preserve"> </v>
      </c>
      <c r="BD29" s="1" t="str">
        <f ca="1">IFERROR(__xludf.DUMMYFUNCTION("""COMPUTED_VALUE""")," ")</f>
        <v xml:space="preserve"> </v>
      </c>
      <c r="BE29" s="1"/>
      <c r="BF29" s="1"/>
      <c r="BG29" s="1"/>
      <c r="BH29" s="1"/>
      <c r="BI29" s="1"/>
      <c r="BJ29" s="1"/>
    </row>
    <row r="30" spans="1:62" x14ac:dyDescent="0.25">
      <c r="A30" s="1">
        <f ca="1">IFERROR(__xludf.DUMMYFUNCTION("""COMPUTED_VALUE"""),28)</f>
        <v>28</v>
      </c>
      <c r="B30" s="1" t="str">
        <f ca="1">IFERROR(__xludf.DUMMYFUNCTION("""COMPUTED_VALUE"""),"Billy Reed")</f>
        <v>Billy Reed</v>
      </c>
      <c r="C30" s="1" t="str">
        <f ca="1">IFERROR(__xludf.DUMMYFUNCTION("""COMPUTED_VALUE"""),"M55")</f>
        <v>M55</v>
      </c>
      <c r="D30" s="1" t="str">
        <f ca="1">IFERROR(__xludf.DUMMYFUNCTION("""COMPUTED_VALUE"""),"East Antrim Harriers")</f>
        <v>East Antrim Harriers</v>
      </c>
      <c r="E30" s="3">
        <f ca="1">IFERROR(__xludf.DUMMYFUNCTION("""COMPUTED_VALUE"""),0.0129166666666666)</f>
        <v>1.2916666666666601E-2</v>
      </c>
      <c r="F30" s="1">
        <f ca="1">IFERROR(__xludf.DUMMYFUNCTION("""COMPUTED_VALUE"""),28)</f>
        <v>28</v>
      </c>
      <c r="G30" s="1" t="str">
        <f ca="1">IFERROR(__xludf.DUMMYFUNCTION("""COMPUTED_VALUE"""),"Senan McConnell")</f>
        <v>Senan McConnell</v>
      </c>
      <c r="H30" s="1" t="str">
        <f ca="1">IFERROR(__xludf.DUMMYFUNCTION("""COMPUTED_VALUE"""),"U13B")</f>
        <v>U13B</v>
      </c>
      <c r="I30" s="1" t="str">
        <f ca="1">IFERROR(__xludf.DUMMYFUNCTION("""COMPUTED_VALUE"""),"North Belfast Harriers")</f>
        <v>North Belfast Harriers</v>
      </c>
      <c r="J30" s="3">
        <f ca="1">IFERROR(__xludf.DUMMYFUNCTION("""COMPUTED_VALUE"""),0.00461805555555555)</f>
        <v>4.6180555555555497E-3</v>
      </c>
      <c r="K30" s="1">
        <f ca="1">IFERROR(__xludf.DUMMYFUNCTION("""COMPUTED_VALUE"""),28)</f>
        <v>28</v>
      </c>
      <c r="L30" s="1" t="str">
        <f ca="1">IFERROR(__xludf.DUMMYFUNCTION("""COMPUTED_VALUE"""),"Shileen O'Kane")</f>
        <v>Shileen O'Kane</v>
      </c>
      <c r="M30" s="1" t="str">
        <f ca="1">IFERROR(__xludf.DUMMYFUNCTION("""COMPUTED_VALUE"""),"F50")</f>
        <v>F50</v>
      </c>
      <c r="N30" s="1" t="str">
        <f ca="1">IFERROR(__xludf.DUMMYFUNCTION("""COMPUTED_VALUE"""),"Lagan Valley AC")</f>
        <v>Lagan Valley AC</v>
      </c>
      <c r="O30" s="3">
        <f ca="1">IFERROR(__xludf.DUMMYFUNCTION("""COMPUTED_VALUE"""),0.014849537037037)</f>
        <v>1.4849537037037E-2</v>
      </c>
      <c r="P30" s="1">
        <f ca="1">IFERROR(__xludf.DUMMYFUNCTION("""COMPUTED_VALUE"""),28)</f>
        <v>28</v>
      </c>
      <c r="Q30" s="1" t="str">
        <f ca="1">IFERROR(__xludf.DUMMYFUNCTION("""COMPUTED_VALUE"""),"Conor Adair")</f>
        <v>Conor Adair</v>
      </c>
      <c r="R30" s="1" t="str">
        <f ca="1">IFERROR(__xludf.DUMMYFUNCTION("""COMPUTED_VALUE"""),"U15B")</f>
        <v>U15B</v>
      </c>
      <c r="S30" s="1" t="str">
        <f ca="1">IFERROR(__xludf.DUMMYFUNCTION("""COMPUTED_VALUE"""),"North Down AC")</f>
        <v>North Down AC</v>
      </c>
      <c r="T30" s="3">
        <f ca="1">IFERROR(__xludf.DUMMYFUNCTION("""COMPUTED_VALUE"""),0.00886574074074074)</f>
        <v>8.86574074074074E-3</v>
      </c>
      <c r="U30" s="1">
        <f ca="1">IFERROR(__xludf.DUMMYFUNCTION("""COMPUTED_VALUE"""),28)</f>
        <v>28</v>
      </c>
      <c r="V30" s="1" t="str">
        <f ca="1">IFERROR(__xludf.DUMMYFUNCTION("""COMPUTED_VALUE"""),"Russell Hughes")</f>
        <v>Russell Hughes</v>
      </c>
      <c r="W30" s="1" t="str">
        <f ca="1">IFERROR(__xludf.DUMMYFUNCTION("""COMPUTED_VALUE"""),"M35")</f>
        <v>M35</v>
      </c>
      <c r="X30" s="1" t="str">
        <f ca="1">IFERROR(__xludf.DUMMYFUNCTION("""COMPUTED_VALUE"""),"Willowfield Harriers")</f>
        <v>Willowfield Harriers</v>
      </c>
      <c r="Y30" s="3">
        <f ca="1">IFERROR(__xludf.DUMMYFUNCTION("""COMPUTED_VALUE"""),0.0164930555555555)</f>
        <v>1.64930555555555E-2</v>
      </c>
      <c r="Z30" s="1" t="str">
        <f ca="1">IFERROR(__xludf.DUMMYFUNCTION("""COMPUTED_VALUE""")," ")</f>
        <v xml:space="preserve"> </v>
      </c>
      <c r="AA30" s="1" t="str">
        <f ca="1">IFERROR(__xludf.DUMMYFUNCTION("""COMPUTED_VALUE""")," ")</f>
        <v xml:space="preserve"> </v>
      </c>
      <c r="AB30" s="1" t="str">
        <f ca="1">IFERROR(__xludf.DUMMYFUNCTION("""COMPUTED_VALUE""")," ")</f>
        <v xml:space="preserve"> </v>
      </c>
      <c r="AC30" s="1" t="str">
        <f ca="1">IFERROR(__xludf.DUMMYFUNCTION("""COMPUTED_VALUE""")," ")</f>
        <v xml:space="preserve"> </v>
      </c>
      <c r="AD30" s="1">
        <f ca="1">IFERROR(__xludf.DUMMYFUNCTION("""COMPUTED_VALUE"""),28)</f>
        <v>28</v>
      </c>
      <c r="AE30" s="1" t="str">
        <f ca="1">IFERROR(__xludf.DUMMYFUNCTION("""COMPUTED_VALUE"""),"Cormac Cox")</f>
        <v>Cormac Cox</v>
      </c>
      <c r="AF30" s="1" t="str">
        <f ca="1">IFERROR(__xludf.DUMMYFUNCTION("""COMPUTED_VALUE"""),"St Michael's Enniskillen")</f>
        <v>St Michael's Enniskillen</v>
      </c>
      <c r="AG30" s="3">
        <f ca="1">IFERROR(__xludf.DUMMYFUNCTION("""COMPUTED_VALUE"""),0.00475694444444444)</f>
        <v>4.7569444444444404E-3</v>
      </c>
      <c r="AH30" s="1" t="str">
        <f ca="1">IFERROR(__xludf.DUMMYFUNCTION("""COMPUTED_VALUE""")," ")</f>
        <v xml:space="preserve"> </v>
      </c>
      <c r="AI30" s="1" t="str">
        <f ca="1">IFERROR(__xludf.DUMMYFUNCTION("""COMPUTED_VALUE""")," ")</f>
        <v xml:space="preserve"> </v>
      </c>
      <c r="AJ30" s="1" t="str">
        <f ca="1">IFERROR(__xludf.DUMMYFUNCTION("""COMPUTED_VALUE""")," ")</f>
        <v xml:space="preserve"> </v>
      </c>
      <c r="AK30" s="1" t="str">
        <f ca="1">IFERROR(__xludf.DUMMYFUNCTION("""COMPUTED_VALUE""")," ")</f>
        <v xml:space="preserve"> </v>
      </c>
      <c r="AL30" s="1" t="str">
        <f ca="1">IFERROR(__xludf.DUMMYFUNCTION("""COMPUTED_VALUE""")," ")</f>
        <v xml:space="preserve"> </v>
      </c>
      <c r="AM30" s="1" t="str">
        <f ca="1">IFERROR(__xludf.DUMMYFUNCTION("""COMPUTED_VALUE""")," ")</f>
        <v xml:space="preserve"> </v>
      </c>
      <c r="AN30" s="1" t="str">
        <f ca="1">IFERROR(__xludf.DUMMYFUNCTION("""COMPUTED_VALUE""")," ")</f>
        <v xml:space="preserve"> </v>
      </c>
      <c r="AO30" s="1" t="str">
        <f ca="1">IFERROR(__xludf.DUMMYFUNCTION("""COMPUTED_VALUE""")," ")</f>
        <v xml:space="preserve"> </v>
      </c>
      <c r="AP30" s="1" t="str">
        <f ca="1">IFERROR(__xludf.DUMMYFUNCTION("""COMPUTED_VALUE""")," ")</f>
        <v xml:space="preserve"> </v>
      </c>
      <c r="AQ30" s="1" t="str">
        <f ca="1">IFERROR(__xludf.DUMMYFUNCTION("""COMPUTED_VALUE""")," ")</f>
        <v xml:space="preserve"> </v>
      </c>
      <c r="AR30" s="1" t="str">
        <f ca="1">IFERROR(__xludf.DUMMYFUNCTION("""COMPUTED_VALUE""")," ")</f>
        <v xml:space="preserve"> </v>
      </c>
      <c r="AS30" s="1" t="str">
        <f ca="1">IFERROR(__xludf.DUMMYFUNCTION("""COMPUTED_VALUE""")," ")</f>
        <v xml:space="preserve"> </v>
      </c>
      <c r="AT30" s="1" t="str">
        <f ca="1">IFERROR(__xludf.DUMMYFUNCTION("""COMPUTED_VALUE""")," ")</f>
        <v xml:space="preserve"> </v>
      </c>
      <c r="AU30" s="1" t="str">
        <f ca="1">IFERROR(__xludf.DUMMYFUNCTION("""COMPUTED_VALUE""")," ")</f>
        <v xml:space="preserve"> </v>
      </c>
      <c r="AV30" s="1" t="str">
        <f ca="1">IFERROR(__xludf.DUMMYFUNCTION("""COMPUTED_VALUE""")," ")</f>
        <v xml:space="preserve"> </v>
      </c>
      <c r="AW30" s="1"/>
      <c r="AX30" s="1"/>
      <c r="AY30" s="1"/>
      <c r="AZ30" s="1"/>
      <c r="BA30" s="1" t="str">
        <f ca="1">IFERROR(__xludf.DUMMYFUNCTION("""COMPUTED_VALUE""")," ")</f>
        <v xml:space="preserve"> </v>
      </c>
      <c r="BB30" s="1" t="str">
        <f ca="1">IFERROR(__xludf.DUMMYFUNCTION("""COMPUTED_VALUE""")," ")</f>
        <v xml:space="preserve"> </v>
      </c>
      <c r="BC30" s="1" t="str">
        <f ca="1">IFERROR(__xludf.DUMMYFUNCTION("""COMPUTED_VALUE""")," ")</f>
        <v xml:space="preserve"> </v>
      </c>
      <c r="BD30" s="1" t="str">
        <f ca="1">IFERROR(__xludf.DUMMYFUNCTION("""COMPUTED_VALUE""")," ")</f>
        <v xml:space="preserve"> </v>
      </c>
      <c r="BE30" s="1" t="str">
        <f ca="1">IFERROR(__xludf.DUMMYFUNCTION("""COMPUTED_VALUE""")," ")</f>
        <v xml:space="preserve"> </v>
      </c>
      <c r="BF30" s="1"/>
      <c r="BG30" s="1"/>
      <c r="BH30" s="1" t="str">
        <f ca="1">IFERROR(__xludf.DUMMYFUNCTION("""COMPUTED_VALUE"""),"F70")</f>
        <v>F70</v>
      </c>
      <c r="BI30" s="1"/>
      <c r="BJ30" s="1"/>
    </row>
    <row r="31" spans="1:62" x14ac:dyDescent="0.25">
      <c r="A31" s="1">
        <f ca="1">IFERROR(__xludf.DUMMYFUNCTION("""COMPUTED_VALUE"""),29)</f>
        <v>29</v>
      </c>
      <c r="B31" s="1" t="str">
        <f ca="1">IFERROR(__xludf.DUMMYFUNCTION("""COMPUTED_VALUE"""),"Conor McMullan")</f>
        <v>Conor McMullan</v>
      </c>
      <c r="C31" s="1" t="str">
        <f ca="1">IFERROR(__xludf.DUMMYFUNCTION("""COMPUTED_VALUE"""),"M45")</f>
        <v>M45</v>
      </c>
      <c r="D31" s="1" t="str">
        <f ca="1">IFERROR(__xludf.DUMMYFUNCTION("""COMPUTED_VALUE"""),"Annadale Striders")</f>
        <v>Annadale Striders</v>
      </c>
      <c r="E31" s="3">
        <f ca="1">IFERROR(__xludf.DUMMYFUNCTION("""COMPUTED_VALUE"""),0.0129398148148148)</f>
        <v>1.29398148148148E-2</v>
      </c>
      <c r="F31" s="1">
        <f ca="1">IFERROR(__xludf.DUMMYFUNCTION("""COMPUTED_VALUE"""),29)</f>
        <v>29</v>
      </c>
      <c r="G31" s="1" t="str">
        <f ca="1">IFERROR(__xludf.DUMMYFUNCTION("""COMPUTED_VALUE"""),"Jessica McCartan")</f>
        <v>Jessica McCartan</v>
      </c>
      <c r="H31" s="1" t="str">
        <f ca="1">IFERROR(__xludf.DUMMYFUNCTION("""COMPUTED_VALUE"""),"U13G")</f>
        <v>U13G</v>
      </c>
      <c r="I31" s="1" t="str">
        <f ca="1">IFERROR(__xludf.DUMMYFUNCTION("""COMPUTED_VALUE"""),"Lagan Valley AC")</f>
        <v>Lagan Valley AC</v>
      </c>
      <c r="J31" s="3">
        <f ca="1">IFERROR(__xludf.DUMMYFUNCTION("""COMPUTED_VALUE"""),0.00462962962962962)</f>
        <v>4.6296296296296198E-3</v>
      </c>
      <c r="K31" s="1">
        <f ca="1">IFERROR(__xludf.DUMMYFUNCTION("""COMPUTED_VALUE"""),29)</f>
        <v>29</v>
      </c>
      <c r="L31" s="1" t="str">
        <f ca="1">IFERROR(__xludf.DUMMYFUNCTION("""COMPUTED_VALUE"""),"Fionnuala O'Hare")</f>
        <v>Fionnuala O'Hare</v>
      </c>
      <c r="M31" s="1" t="str">
        <f ca="1">IFERROR(__xludf.DUMMYFUNCTION("""COMPUTED_VALUE"""),"FO")</f>
        <v>FO</v>
      </c>
      <c r="N31" s="1" t="str">
        <f ca="1">IFERROR(__xludf.DUMMYFUNCTION("""COMPUTED_VALUE"""),"North Belfast Harriers")</f>
        <v>North Belfast Harriers</v>
      </c>
      <c r="O31" s="3">
        <f ca="1">IFERROR(__xludf.DUMMYFUNCTION("""COMPUTED_VALUE"""),0.0148726851851851)</f>
        <v>1.48726851851851E-2</v>
      </c>
      <c r="P31" s="1">
        <f ca="1">IFERROR(__xludf.DUMMYFUNCTION("""COMPUTED_VALUE"""),29)</f>
        <v>29</v>
      </c>
      <c r="Q31" s="1" t="str">
        <f ca="1">IFERROR(__xludf.DUMMYFUNCTION("""COMPUTED_VALUE"""),"Hazel Hughes")</f>
        <v>Hazel Hughes</v>
      </c>
      <c r="R31" s="1" t="str">
        <f ca="1">IFERROR(__xludf.DUMMYFUNCTION("""COMPUTED_VALUE"""),"U15G")</f>
        <v>U15G</v>
      </c>
      <c r="S31" s="1" t="str">
        <f ca="1">IFERROR(__xludf.DUMMYFUNCTION("""COMPUTED_VALUE"""),"Shercock AC")</f>
        <v>Shercock AC</v>
      </c>
      <c r="T31" s="3">
        <f ca="1">IFERROR(__xludf.DUMMYFUNCTION("""COMPUTED_VALUE"""),0.00887731481481481)</f>
        <v>8.8773148148148101E-3</v>
      </c>
      <c r="U31" s="1">
        <f ca="1">IFERROR(__xludf.DUMMYFUNCTION("""COMPUTED_VALUE"""),29)</f>
        <v>29</v>
      </c>
      <c r="V31" s="1" t="str">
        <f ca="1">IFERROR(__xludf.DUMMYFUNCTION("""COMPUTED_VALUE"""),"Nhial Tuy Tuy")</f>
        <v>Nhial Tuy Tuy</v>
      </c>
      <c r="W31" s="1" t="str">
        <f ca="1">IFERROR(__xludf.DUMMYFUNCTION("""COMPUTED_VALUE"""),"MO")</f>
        <v>MO</v>
      </c>
      <c r="X31" s="1" t="str">
        <f ca="1">IFERROR(__xludf.DUMMYFUNCTION("""COMPUTED_VALUE"""),"Annadale Striders")</f>
        <v>Annadale Striders</v>
      </c>
      <c r="Y31" s="3">
        <f ca="1">IFERROR(__xludf.DUMMYFUNCTION("""COMPUTED_VALUE"""),0.016574074074074)</f>
        <v>1.6574074074074002E-2</v>
      </c>
      <c r="Z31" s="1" t="str">
        <f ca="1">IFERROR(__xludf.DUMMYFUNCTION("""COMPUTED_VALUE""")," ")</f>
        <v xml:space="preserve"> </v>
      </c>
      <c r="AA31" s="1" t="str">
        <f ca="1">IFERROR(__xludf.DUMMYFUNCTION("""COMPUTED_VALUE""")," ")</f>
        <v xml:space="preserve"> </v>
      </c>
      <c r="AB31" s="1" t="str">
        <f ca="1">IFERROR(__xludf.DUMMYFUNCTION("""COMPUTED_VALUE""")," ")</f>
        <v xml:space="preserve"> </v>
      </c>
      <c r="AC31" s="1" t="str">
        <f ca="1">IFERROR(__xludf.DUMMYFUNCTION("""COMPUTED_VALUE""")," ")</f>
        <v xml:space="preserve"> </v>
      </c>
      <c r="AD31" s="1">
        <f ca="1">IFERROR(__xludf.DUMMYFUNCTION("""COMPUTED_VALUE"""),29)</f>
        <v>29</v>
      </c>
      <c r="AE31" s="1" t="str">
        <f ca="1">IFERROR(__xludf.DUMMYFUNCTION("""COMPUTED_VALUE"""),"Matthew Fleming")</f>
        <v>Matthew Fleming</v>
      </c>
      <c r="AF31" s="1" t="str">
        <f ca="1">IFERROR(__xludf.DUMMYFUNCTION("""COMPUTED_VALUE"""),"Willowfield Harriers")</f>
        <v>Willowfield Harriers</v>
      </c>
      <c r="AG31" s="3">
        <f ca="1">IFERROR(__xludf.DUMMYFUNCTION("""COMPUTED_VALUE"""),0.00476851851851851)</f>
        <v>4.7685185185185096E-3</v>
      </c>
      <c r="AH31" s="1" t="str">
        <f ca="1">IFERROR(__xludf.DUMMYFUNCTION("""COMPUTED_VALUE""")," ")</f>
        <v xml:space="preserve"> </v>
      </c>
      <c r="AI31" s="1" t="str">
        <f ca="1">IFERROR(__xludf.DUMMYFUNCTION("""COMPUTED_VALUE""")," ")</f>
        <v xml:space="preserve"> </v>
      </c>
      <c r="AJ31" s="1" t="str">
        <f ca="1">IFERROR(__xludf.DUMMYFUNCTION("""COMPUTED_VALUE""")," ")</f>
        <v xml:space="preserve"> </v>
      </c>
      <c r="AK31" s="1" t="str">
        <f ca="1">IFERROR(__xludf.DUMMYFUNCTION("""COMPUTED_VALUE""")," ")</f>
        <v xml:space="preserve"> </v>
      </c>
      <c r="AL31" s="1" t="str">
        <f ca="1">IFERROR(__xludf.DUMMYFUNCTION("""COMPUTED_VALUE""")," ")</f>
        <v xml:space="preserve"> </v>
      </c>
      <c r="AM31" s="1" t="str">
        <f ca="1">IFERROR(__xludf.DUMMYFUNCTION("""COMPUTED_VALUE""")," ")</f>
        <v xml:space="preserve"> </v>
      </c>
      <c r="AN31" s="1" t="str">
        <f ca="1">IFERROR(__xludf.DUMMYFUNCTION("""COMPUTED_VALUE""")," ")</f>
        <v xml:space="preserve"> </v>
      </c>
      <c r="AO31" s="1" t="str">
        <f ca="1">IFERROR(__xludf.DUMMYFUNCTION("""COMPUTED_VALUE""")," ")</f>
        <v xml:space="preserve"> </v>
      </c>
      <c r="AP31" s="1" t="str">
        <f ca="1">IFERROR(__xludf.DUMMYFUNCTION("""COMPUTED_VALUE""")," ")</f>
        <v xml:space="preserve"> </v>
      </c>
      <c r="AQ31" s="1" t="str">
        <f ca="1">IFERROR(__xludf.DUMMYFUNCTION("""COMPUTED_VALUE""")," ")</f>
        <v xml:space="preserve"> </v>
      </c>
      <c r="AR31" s="1" t="str">
        <f ca="1">IFERROR(__xludf.DUMMYFUNCTION("""COMPUTED_VALUE""")," ")</f>
        <v xml:space="preserve"> </v>
      </c>
      <c r="AS31" s="1" t="str">
        <f ca="1">IFERROR(__xludf.DUMMYFUNCTION("""COMPUTED_VALUE""")," ")</f>
        <v xml:space="preserve"> </v>
      </c>
      <c r="AT31" s="1" t="str">
        <f ca="1">IFERROR(__xludf.DUMMYFUNCTION("""COMPUTED_VALUE""")," ")</f>
        <v xml:space="preserve"> </v>
      </c>
      <c r="AU31" s="1" t="str">
        <f ca="1">IFERROR(__xludf.DUMMYFUNCTION("""COMPUTED_VALUE""")," ")</f>
        <v xml:space="preserve"> </v>
      </c>
      <c r="AV31" s="1" t="str">
        <f ca="1">IFERROR(__xludf.DUMMYFUNCTION("""COMPUTED_VALUE""")," ")</f>
        <v xml:space="preserve"> </v>
      </c>
      <c r="AW31" s="1"/>
      <c r="AX31" s="1"/>
      <c r="AY31" s="1"/>
      <c r="AZ31" s="1"/>
      <c r="BA31" s="1" t="str">
        <f ca="1">IFERROR(__xludf.DUMMYFUNCTION("""COMPUTED_VALUE""")," ")</f>
        <v xml:space="preserve"> </v>
      </c>
      <c r="BB31" s="1" t="str">
        <f ca="1">IFERROR(__xludf.DUMMYFUNCTION("""COMPUTED_VALUE""")," ")</f>
        <v xml:space="preserve"> </v>
      </c>
      <c r="BC31" s="1" t="str">
        <f ca="1">IFERROR(__xludf.DUMMYFUNCTION("""COMPUTED_VALUE""")," ")</f>
        <v xml:space="preserve"> </v>
      </c>
      <c r="BD31" s="1" t="str">
        <f ca="1">IFERROR(__xludf.DUMMYFUNCTION("""COMPUTED_VALUE""")," ")</f>
        <v xml:space="preserve"> </v>
      </c>
      <c r="BE31" s="1" t="str">
        <f ca="1">IFERROR(__xludf.DUMMYFUNCTION("""COMPUTED_VALUE""")," ")</f>
        <v xml:space="preserve"> </v>
      </c>
      <c r="BF31" s="1" t="str">
        <f ca="1">IFERROR(__xludf.DUMMYFUNCTION("""COMPUTED_VALUE""")," ")</f>
        <v xml:space="preserve"> </v>
      </c>
      <c r="BG31" s="1" t="str">
        <f ca="1">IFERROR(__xludf.DUMMYFUNCTION("""COMPUTED_VALUE""")," ")</f>
        <v xml:space="preserve"> </v>
      </c>
      <c r="BH31" s="1">
        <f ca="1">IFERROR(__xludf.DUMMYFUNCTION("""COMPUTED_VALUE"""),1)</f>
        <v>1</v>
      </c>
      <c r="BI31" s="1" t="str">
        <f ca="1">IFERROR(__xludf.DUMMYFUNCTION("""COMPUTED_VALUE"""),"Wendy Forsythe")</f>
        <v>Wendy Forsythe</v>
      </c>
      <c r="BJ31" s="1" t="str">
        <f ca="1">IFERROR(__xludf.DUMMYFUNCTION("""COMPUTED_VALUE"""),"County Antrim Harriers")</f>
        <v>County Antrim Harriers</v>
      </c>
    </row>
    <row r="32" spans="1:62" x14ac:dyDescent="0.25">
      <c r="A32" s="1">
        <f ca="1">IFERROR(__xludf.DUMMYFUNCTION("""COMPUTED_VALUE"""),30)</f>
        <v>30</v>
      </c>
      <c r="B32" s="1" t="str">
        <f ca="1">IFERROR(__xludf.DUMMYFUNCTION("""COMPUTED_VALUE"""),"Simon Boyle")</f>
        <v>Simon Boyle</v>
      </c>
      <c r="C32" s="1" t="str">
        <f ca="1">IFERROR(__xludf.DUMMYFUNCTION("""COMPUTED_VALUE"""),"M55")</f>
        <v>M55</v>
      </c>
      <c r="D32" s="1" t="str">
        <f ca="1">IFERROR(__xludf.DUMMYFUNCTION("""COMPUTED_VALUE"""),"North Down AC")</f>
        <v>North Down AC</v>
      </c>
      <c r="E32" s="3">
        <f ca="1">IFERROR(__xludf.DUMMYFUNCTION("""COMPUTED_VALUE"""),0.0129629629629629)</f>
        <v>1.29629629629629E-2</v>
      </c>
      <c r="F32" s="1">
        <f ca="1">IFERROR(__xludf.DUMMYFUNCTION("""COMPUTED_VALUE"""),30)</f>
        <v>30</v>
      </c>
      <c r="G32" s="1" t="str">
        <f ca="1">IFERROR(__xludf.DUMMYFUNCTION("""COMPUTED_VALUE"""),"Jack Crilly")</f>
        <v>Jack Crilly</v>
      </c>
      <c r="H32" s="1" t="str">
        <f ca="1">IFERROR(__xludf.DUMMYFUNCTION("""COMPUTED_VALUE"""),"U13B")</f>
        <v>U13B</v>
      </c>
      <c r="I32" s="1" t="str">
        <f ca="1">IFERROR(__xludf.DUMMYFUNCTION("""COMPUTED_VALUE"""),"Armagh AC")</f>
        <v>Armagh AC</v>
      </c>
      <c r="J32" s="3">
        <f ca="1">IFERROR(__xludf.DUMMYFUNCTION("""COMPUTED_VALUE"""),0.00462962962962962)</f>
        <v>4.6296296296296198E-3</v>
      </c>
      <c r="K32" s="1">
        <f ca="1">IFERROR(__xludf.DUMMYFUNCTION("""COMPUTED_VALUE"""),30)</f>
        <v>30</v>
      </c>
      <c r="L32" s="1" t="str">
        <f ca="1">IFERROR(__xludf.DUMMYFUNCTION("""COMPUTED_VALUE"""),"Una McConnell")</f>
        <v>Una McConnell</v>
      </c>
      <c r="M32" s="1" t="str">
        <f ca="1">IFERROR(__xludf.DUMMYFUNCTION("""COMPUTED_VALUE"""),"F40")</f>
        <v>F40</v>
      </c>
      <c r="N32" s="1" t="str">
        <f ca="1">IFERROR(__xludf.DUMMYFUNCTION("""COMPUTED_VALUE"""),"North Belfast Harriers")</f>
        <v>North Belfast Harriers</v>
      </c>
      <c r="O32" s="3">
        <f ca="1">IFERROR(__xludf.DUMMYFUNCTION("""COMPUTED_VALUE"""),0.0148726851851851)</f>
        <v>1.48726851851851E-2</v>
      </c>
      <c r="P32" s="1">
        <f ca="1">IFERROR(__xludf.DUMMYFUNCTION("""COMPUTED_VALUE"""),30)</f>
        <v>30</v>
      </c>
      <c r="Q32" s="1" t="str">
        <f ca="1">IFERROR(__xludf.DUMMYFUNCTION("""COMPUTED_VALUE"""),"Cora Scullion")</f>
        <v>Cora Scullion</v>
      </c>
      <c r="R32" s="1" t="str">
        <f ca="1">IFERROR(__xludf.DUMMYFUNCTION("""COMPUTED_VALUE"""),"U15G")</f>
        <v>U15G</v>
      </c>
      <c r="S32" s="1" t="str">
        <f ca="1">IFERROR(__xludf.DUMMYFUNCTION("""COMPUTED_VALUE"""),"Omagh Harriers")</f>
        <v>Omagh Harriers</v>
      </c>
      <c r="T32" s="3">
        <f ca="1">IFERROR(__xludf.DUMMYFUNCTION("""COMPUTED_VALUE"""),0.00890046296296296)</f>
        <v>8.9004629629629607E-3</v>
      </c>
      <c r="U32" s="1">
        <f ca="1">IFERROR(__xludf.DUMMYFUNCTION("""COMPUTED_VALUE"""),30)</f>
        <v>30</v>
      </c>
      <c r="V32" s="1" t="str">
        <f ca="1">IFERROR(__xludf.DUMMYFUNCTION("""COMPUTED_VALUE"""),"Andrew McIntyre")</f>
        <v>Andrew McIntyre</v>
      </c>
      <c r="W32" s="1" t="str">
        <f ca="1">IFERROR(__xludf.DUMMYFUNCTION("""COMPUTED_VALUE"""),"M35")</f>
        <v>M35</v>
      </c>
      <c r="X32" s="1" t="str">
        <f ca="1">IFERROR(__xludf.DUMMYFUNCTION("""COMPUTED_VALUE"""),"Orangegrove AC")</f>
        <v>Orangegrove AC</v>
      </c>
      <c r="Y32" s="3">
        <f ca="1">IFERROR(__xludf.DUMMYFUNCTION("""COMPUTED_VALUE"""),0.016574074074074)</f>
        <v>1.6574074074074002E-2</v>
      </c>
      <c r="Z32" s="1"/>
      <c r="AA32" s="1"/>
      <c r="AB32" s="1"/>
      <c r="AC32" s="1"/>
      <c r="AD32" s="1">
        <f ca="1">IFERROR(__xludf.DUMMYFUNCTION("""COMPUTED_VALUE"""),30)</f>
        <v>30</v>
      </c>
      <c r="AE32" s="1" t="str">
        <f ca="1">IFERROR(__xludf.DUMMYFUNCTION("""COMPUTED_VALUE"""),"Ethan Lappin")</f>
        <v>Ethan Lappin</v>
      </c>
      <c r="AF32" s="1" t="str">
        <f ca="1">IFERROR(__xludf.DUMMYFUNCTION("""COMPUTED_VALUE"""),"Scrabo Striders")</f>
        <v>Scrabo Striders</v>
      </c>
      <c r="AG32" s="3">
        <f ca="1">IFERROR(__xludf.DUMMYFUNCTION("""COMPUTED_VALUE"""),0.00476851851851851)</f>
        <v>4.7685185185185096E-3</v>
      </c>
      <c r="AH32" s="1"/>
      <c r="AI32" s="1"/>
      <c r="AJ32" s="1"/>
      <c r="AK32" s="1"/>
      <c r="AL32" s="1" t="str">
        <f ca="1">IFERROR(__xludf.DUMMYFUNCTION("""COMPUTED_VALUE""")," ")</f>
        <v xml:space="preserve"> </v>
      </c>
      <c r="AM32" s="1" t="str">
        <f ca="1">IFERROR(__xludf.DUMMYFUNCTION("""COMPUTED_VALUE""")," ")</f>
        <v xml:space="preserve"> </v>
      </c>
      <c r="AN32" s="1" t="str">
        <f ca="1">IFERROR(__xludf.DUMMYFUNCTION("""COMPUTED_VALUE""")," ")</f>
        <v xml:space="preserve"> </v>
      </c>
      <c r="AO32" s="1"/>
      <c r="AP32" s="1"/>
      <c r="AQ32" s="1"/>
      <c r="AR32" s="1"/>
      <c r="AS32" s="1" t="str">
        <f ca="1">IFERROR(__xludf.DUMMYFUNCTION("""COMPUTED_VALUE""")," ")</f>
        <v xml:space="preserve"> </v>
      </c>
      <c r="AT32" s="1" t="str">
        <f ca="1">IFERROR(__xludf.DUMMYFUNCTION("""COMPUTED_VALUE""")," ")</f>
        <v xml:space="preserve"> </v>
      </c>
      <c r="AU32" s="1" t="str">
        <f ca="1">IFERROR(__xludf.DUMMYFUNCTION("""COMPUTED_VALUE""")," ")</f>
        <v xml:space="preserve"> </v>
      </c>
      <c r="AV32" s="1" t="str">
        <f ca="1">IFERROR(__xludf.DUMMYFUNCTION("""COMPUTED_VALUE""")," ")</f>
        <v xml:space="preserve"> </v>
      </c>
      <c r="AW32" s="1"/>
      <c r="AX32" s="1"/>
      <c r="AY32" s="1"/>
      <c r="AZ32" s="1"/>
      <c r="BA32" s="1" t="str">
        <f ca="1">IFERROR(__xludf.DUMMYFUNCTION("""COMPUTED_VALUE""")," ")</f>
        <v xml:space="preserve"> </v>
      </c>
      <c r="BB32" s="1" t="str">
        <f ca="1">IFERROR(__xludf.DUMMYFUNCTION("""COMPUTED_VALUE""")," ")</f>
        <v xml:space="preserve"> </v>
      </c>
      <c r="BC32" s="1" t="str">
        <f ca="1">IFERROR(__xludf.DUMMYFUNCTION("""COMPUTED_VALUE""")," ")</f>
        <v xml:space="preserve"> </v>
      </c>
      <c r="BD32" s="1" t="str">
        <f ca="1">IFERROR(__xludf.DUMMYFUNCTION("""COMPUTED_VALUE""")," ")</f>
        <v xml:space="preserve"> </v>
      </c>
      <c r="BE32" s="1"/>
      <c r="BF32" s="1"/>
      <c r="BG32" s="1"/>
      <c r="BH32" s="1"/>
      <c r="BI32" s="1"/>
      <c r="BJ32" s="1"/>
    </row>
    <row r="33" spans="1:62" x14ac:dyDescent="0.25">
      <c r="A33" s="1">
        <f ca="1">IFERROR(__xludf.DUMMYFUNCTION("""COMPUTED_VALUE"""),31)</f>
        <v>31</v>
      </c>
      <c r="B33" s="1" t="str">
        <f ca="1">IFERROR(__xludf.DUMMYFUNCTION("""COMPUTED_VALUE"""),"Stephen McCullough")</f>
        <v>Stephen McCullough</v>
      </c>
      <c r="C33" s="1" t="str">
        <f ca="1">IFERROR(__xludf.DUMMYFUNCTION("""COMPUTED_VALUE"""),"M40")</f>
        <v>M40</v>
      </c>
      <c r="D33" s="1" t="str">
        <f ca="1">IFERROR(__xludf.DUMMYFUNCTION("""COMPUTED_VALUE"""),"Jog Lisburn Running Club")</f>
        <v>Jog Lisburn Running Club</v>
      </c>
      <c r="E33" s="3">
        <f ca="1">IFERROR(__xludf.DUMMYFUNCTION("""COMPUTED_VALUE"""),0.0129861111111111)</f>
        <v>1.2986111111111099E-2</v>
      </c>
      <c r="F33" s="1">
        <f ca="1">IFERROR(__xludf.DUMMYFUNCTION("""COMPUTED_VALUE"""),31)</f>
        <v>31</v>
      </c>
      <c r="G33" s="1" t="str">
        <f ca="1">IFERROR(__xludf.DUMMYFUNCTION("""COMPUTED_VALUE"""),"Ava Doran")</f>
        <v>Ava Doran</v>
      </c>
      <c r="H33" s="1" t="str">
        <f ca="1">IFERROR(__xludf.DUMMYFUNCTION("""COMPUTED_VALUE"""),"U13G")</f>
        <v>U13G</v>
      </c>
      <c r="I33" s="1" t="str">
        <f ca="1">IFERROR(__xludf.DUMMYFUNCTION("""COMPUTED_VALUE"""),"Armagh AC")</f>
        <v>Armagh AC</v>
      </c>
      <c r="J33" s="3">
        <f ca="1">IFERROR(__xludf.DUMMYFUNCTION("""COMPUTED_VALUE"""),0.00465277777777777)</f>
        <v>4.6527777777777696E-3</v>
      </c>
      <c r="K33" s="1">
        <f ca="1">IFERROR(__xludf.DUMMYFUNCTION("""COMPUTED_VALUE"""),31)</f>
        <v>31</v>
      </c>
      <c r="L33" s="1" t="str">
        <f ca="1">IFERROR(__xludf.DUMMYFUNCTION("""COMPUTED_VALUE"""),"Christina McConnell")</f>
        <v>Christina McConnell</v>
      </c>
      <c r="M33" s="1" t="str">
        <f ca="1">IFERROR(__xludf.DUMMYFUNCTION("""COMPUTED_VALUE"""),"F35")</f>
        <v>F35</v>
      </c>
      <c r="N33" s="1" t="str">
        <f ca="1">IFERROR(__xludf.DUMMYFUNCTION("""COMPUTED_VALUE"""),"Ballydrain Harriers")</f>
        <v>Ballydrain Harriers</v>
      </c>
      <c r="O33" s="3">
        <f ca="1">IFERROR(__xludf.DUMMYFUNCTION("""COMPUTED_VALUE"""),0.0148842592592592)</f>
        <v>1.48842592592592E-2</v>
      </c>
      <c r="P33" s="1">
        <f ca="1">IFERROR(__xludf.DUMMYFUNCTION("""COMPUTED_VALUE"""),31)</f>
        <v>31</v>
      </c>
      <c r="Q33" s="1" t="str">
        <f ca="1">IFERROR(__xludf.DUMMYFUNCTION("""COMPUTED_VALUE"""),"Leo McAleer")</f>
        <v>Leo McAleer</v>
      </c>
      <c r="R33" s="1" t="str">
        <f ca="1">IFERROR(__xludf.DUMMYFUNCTION("""COMPUTED_VALUE"""),"U15B")</f>
        <v>U15B</v>
      </c>
      <c r="S33" s="1" t="str">
        <f ca="1">IFERROR(__xludf.DUMMYFUNCTION("""COMPUTED_VALUE"""),"Ballymena &amp; Antrim AC")</f>
        <v>Ballymena &amp; Antrim AC</v>
      </c>
      <c r="T33" s="3">
        <f ca="1">IFERROR(__xludf.DUMMYFUNCTION("""COMPUTED_VALUE"""),0.00891203703703703)</f>
        <v>8.9120370370370308E-3</v>
      </c>
      <c r="U33" s="1">
        <f ca="1">IFERROR(__xludf.DUMMYFUNCTION("""COMPUTED_VALUE"""),31)</f>
        <v>31</v>
      </c>
      <c r="V33" s="1" t="str">
        <f ca="1">IFERROR(__xludf.DUMMYFUNCTION("""COMPUTED_VALUE"""),"Matthew McCombe")</f>
        <v>Matthew McCombe</v>
      </c>
      <c r="W33" s="1" t="str">
        <f ca="1">IFERROR(__xludf.DUMMYFUNCTION("""COMPUTED_VALUE"""),"MO")</f>
        <v>MO</v>
      </c>
      <c r="X33" s="1" t="str">
        <f ca="1">IFERROR(__xludf.DUMMYFUNCTION("""COMPUTED_VALUE"""),"North Belfast Harriers")</f>
        <v>North Belfast Harriers</v>
      </c>
      <c r="Y33" s="3">
        <f ca="1">IFERROR(__xludf.DUMMYFUNCTION("""COMPUTED_VALUE"""),0.0166319444444444)</f>
        <v>1.6631944444444401E-2</v>
      </c>
      <c r="Z33" s="1"/>
      <c r="AA33" s="1"/>
      <c r="AB33" s="1"/>
      <c r="AC33" s="1"/>
      <c r="AD33" s="1">
        <f ca="1">IFERROR(__xludf.DUMMYFUNCTION("""COMPUTED_VALUE"""),31)</f>
        <v>31</v>
      </c>
      <c r="AE33" s="1" t="str">
        <f ca="1">IFERROR(__xludf.DUMMYFUNCTION("""COMPUTED_VALUE"""),"Ben McAleer")</f>
        <v>Ben McAleer</v>
      </c>
      <c r="AF33" s="1" t="str">
        <f ca="1">IFERROR(__xludf.DUMMYFUNCTION("""COMPUTED_VALUE"""),"Ballymena and Antrim AC")</f>
        <v>Ballymena and Antrim AC</v>
      </c>
      <c r="AG33" s="3">
        <f ca="1">IFERROR(__xludf.DUMMYFUNCTION("""COMPUTED_VALUE"""),0.00502314814814814)</f>
        <v>5.0231481481481403E-3</v>
      </c>
      <c r="AH33" s="1"/>
      <c r="AI33" s="1"/>
      <c r="AJ33" s="1"/>
      <c r="AK33" s="1"/>
      <c r="AL33" s="1" t="str">
        <f ca="1">IFERROR(__xludf.DUMMYFUNCTION("""COMPUTED_VALUE""")," ")</f>
        <v xml:space="preserve"> </v>
      </c>
      <c r="AM33" s="1" t="str">
        <f ca="1">IFERROR(__xludf.DUMMYFUNCTION("""COMPUTED_VALUE""")," ")</f>
        <v xml:space="preserve"> </v>
      </c>
      <c r="AN33" s="1" t="str">
        <f ca="1">IFERROR(__xludf.DUMMYFUNCTION("""COMPUTED_VALUE""")," ")</f>
        <v xml:space="preserve"> </v>
      </c>
      <c r="AO33" s="1"/>
      <c r="AP33" s="1"/>
      <c r="AQ33" s="1"/>
      <c r="AR33" s="1"/>
      <c r="AS33" s="1" t="str">
        <f ca="1">IFERROR(__xludf.DUMMYFUNCTION("""COMPUTED_VALUE""")," ")</f>
        <v xml:space="preserve"> </v>
      </c>
      <c r="AT33" s="1" t="str">
        <f ca="1">IFERROR(__xludf.DUMMYFUNCTION("""COMPUTED_VALUE""")," ")</f>
        <v xml:space="preserve"> </v>
      </c>
      <c r="AU33" s="1" t="str">
        <f ca="1">IFERROR(__xludf.DUMMYFUNCTION("""COMPUTED_VALUE""")," ")</f>
        <v xml:space="preserve"> </v>
      </c>
      <c r="AV33" s="1" t="str">
        <f ca="1">IFERROR(__xludf.DUMMYFUNCTION("""COMPUTED_VALUE""")," ")</f>
        <v xml:space="preserve"> </v>
      </c>
      <c r="AW33" s="1"/>
      <c r="AX33" s="1"/>
      <c r="AY33" s="1"/>
      <c r="AZ33" s="1"/>
      <c r="BA33" s="1" t="str">
        <f ca="1">IFERROR(__xludf.DUMMYFUNCTION("""COMPUTED_VALUE""")," ")</f>
        <v xml:space="preserve"> </v>
      </c>
      <c r="BB33" s="1" t="str">
        <f ca="1">IFERROR(__xludf.DUMMYFUNCTION("""COMPUTED_VALUE""")," ")</f>
        <v xml:space="preserve"> </v>
      </c>
      <c r="BC33" s="1" t="str">
        <f ca="1">IFERROR(__xludf.DUMMYFUNCTION("""COMPUTED_VALUE""")," ")</f>
        <v xml:space="preserve"> </v>
      </c>
      <c r="BD33" s="1" t="str">
        <f ca="1">IFERROR(__xludf.DUMMYFUNCTION("""COMPUTED_VALUE""")," ")</f>
        <v xml:space="preserve"> </v>
      </c>
      <c r="BE33" s="1"/>
      <c r="BF33" s="1"/>
      <c r="BG33" s="1"/>
      <c r="BH33" s="1"/>
      <c r="BI33" s="1"/>
      <c r="BJ33" s="1"/>
    </row>
    <row r="34" spans="1:62" x14ac:dyDescent="0.25">
      <c r="A34" s="1">
        <f ca="1">IFERROR(__xludf.DUMMYFUNCTION("""COMPUTED_VALUE"""),32)</f>
        <v>32</v>
      </c>
      <c r="B34" s="1" t="str">
        <f ca="1">IFERROR(__xludf.DUMMYFUNCTION("""COMPUTED_VALUE"""),"David Curran")</f>
        <v>David Curran</v>
      </c>
      <c r="C34" s="1" t="str">
        <f ca="1">IFERROR(__xludf.DUMMYFUNCTION("""COMPUTED_VALUE"""),"M50")</f>
        <v>M50</v>
      </c>
      <c r="D34" s="1" t="str">
        <f ca="1">IFERROR(__xludf.DUMMYFUNCTION("""COMPUTED_VALUE"""),"North Belfast Harriers")</f>
        <v>North Belfast Harriers</v>
      </c>
      <c r="E34" s="3">
        <f ca="1">IFERROR(__xludf.DUMMYFUNCTION("""COMPUTED_VALUE"""),0.0129976851851851)</f>
        <v>1.29976851851851E-2</v>
      </c>
      <c r="F34" s="1">
        <f ca="1">IFERROR(__xludf.DUMMYFUNCTION("""COMPUTED_VALUE"""),32)</f>
        <v>32</v>
      </c>
      <c r="G34" s="1" t="str">
        <f ca="1">IFERROR(__xludf.DUMMYFUNCTION("""COMPUTED_VALUE"""),"Patrick Toal")</f>
        <v>Patrick Toal</v>
      </c>
      <c r="H34" s="1" t="str">
        <f ca="1">IFERROR(__xludf.DUMMYFUNCTION("""COMPUTED_VALUE"""),"U13B")</f>
        <v>U13B</v>
      </c>
      <c r="I34" s="1" t="str">
        <f ca="1">IFERROR(__xludf.DUMMYFUNCTION("""COMPUTED_VALUE"""),"St Michael's Enniskillen")</f>
        <v>St Michael's Enniskillen</v>
      </c>
      <c r="J34" s="3">
        <f ca="1">IFERROR(__xludf.DUMMYFUNCTION("""COMPUTED_VALUE"""),0.00467592592592592)</f>
        <v>4.6759259259259202E-3</v>
      </c>
      <c r="K34" s="1">
        <f ca="1">IFERROR(__xludf.DUMMYFUNCTION("""COMPUTED_VALUE"""),32)</f>
        <v>32</v>
      </c>
      <c r="L34" s="1" t="str">
        <f ca="1">IFERROR(__xludf.DUMMYFUNCTION("""COMPUTED_VALUE"""),"Moira Leheny")</f>
        <v>Moira Leheny</v>
      </c>
      <c r="M34" s="1" t="str">
        <f ca="1">IFERROR(__xludf.DUMMYFUNCTION("""COMPUTED_VALUE"""),"F40")</f>
        <v>F40</v>
      </c>
      <c r="N34" s="1" t="str">
        <f ca="1">IFERROR(__xludf.DUMMYFUNCTION("""COMPUTED_VALUE"""),"North Belfast Harriers")</f>
        <v>North Belfast Harriers</v>
      </c>
      <c r="O34" s="3">
        <f ca="1">IFERROR(__xludf.DUMMYFUNCTION("""COMPUTED_VALUE"""),0.0148958333333333)</f>
        <v>1.4895833333333299E-2</v>
      </c>
      <c r="P34" s="1">
        <f ca="1">IFERROR(__xludf.DUMMYFUNCTION("""COMPUTED_VALUE"""),32)</f>
        <v>32</v>
      </c>
      <c r="Q34" s="1" t="str">
        <f ca="1">IFERROR(__xludf.DUMMYFUNCTION("""COMPUTED_VALUE"""),"Holly Collins")</f>
        <v>Holly Collins</v>
      </c>
      <c r="R34" s="1" t="str">
        <f ca="1">IFERROR(__xludf.DUMMYFUNCTION("""COMPUTED_VALUE"""),"U15G")</f>
        <v>U15G</v>
      </c>
      <c r="S34" s="1" t="str">
        <f ca="1">IFERROR(__xludf.DUMMYFUNCTION("""COMPUTED_VALUE"""),"North Belfast Harriers")</f>
        <v>North Belfast Harriers</v>
      </c>
      <c r="T34" s="3">
        <f ca="1">IFERROR(__xludf.DUMMYFUNCTION("""COMPUTED_VALUE"""),0.00893518518518518)</f>
        <v>8.9351851851851797E-3</v>
      </c>
      <c r="U34" s="1">
        <f ca="1">IFERROR(__xludf.DUMMYFUNCTION("""COMPUTED_VALUE"""),32)</f>
        <v>32</v>
      </c>
      <c r="V34" s="1" t="str">
        <f ca="1">IFERROR(__xludf.DUMMYFUNCTION("""COMPUTED_VALUE"""),"Stephen Butters")</f>
        <v>Stephen Butters</v>
      </c>
      <c r="W34" s="1" t="str">
        <f ca="1">IFERROR(__xludf.DUMMYFUNCTION("""COMPUTED_VALUE"""),"MO")</f>
        <v>MO</v>
      </c>
      <c r="X34" s="1" t="str">
        <f ca="1">IFERROR(__xludf.DUMMYFUNCTION("""COMPUTED_VALUE"""),"Willowfield Harriers")</f>
        <v>Willowfield Harriers</v>
      </c>
      <c r="Y34" s="3">
        <f ca="1">IFERROR(__xludf.DUMMYFUNCTION("""COMPUTED_VALUE"""),0.0166435185185185)</f>
        <v>1.6643518518518498E-2</v>
      </c>
      <c r="Z34" s="1"/>
      <c r="AA34" s="1"/>
      <c r="AB34" s="1"/>
      <c r="AC34" s="1"/>
      <c r="AD34" s="1">
        <f ca="1">IFERROR(__xludf.DUMMYFUNCTION("""COMPUTED_VALUE"""),32)</f>
        <v>32</v>
      </c>
      <c r="AE34" s="1" t="str">
        <f ca="1">IFERROR(__xludf.DUMMYFUNCTION("""COMPUTED_VALUE"""),"Matthew McKernan")</f>
        <v>Matthew McKernan</v>
      </c>
      <c r="AF34" s="1" t="str">
        <f ca="1">IFERROR(__xludf.DUMMYFUNCTION("""COMPUTED_VALUE"""),"Dromore AC")</f>
        <v>Dromore AC</v>
      </c>
      <c r="AG34" s="3">
        <f ca="1">IFERROR(__xludf.DUMMYFUNCTION("""COMPUTED_VALUE"""),0.00503472222222222)</f>
        <v>5.0347222222222199E-3</v>
      </c>
      <c r="AH34" s="1"/>
      <c r="AI34" s="1"/>
      <c r="AJ34" s="1"/>
      <c r="AK34" s="1"/>
      <c r="AL34" s="1" t="str">
        <f ca="1">IFERROR(__xludf.DUMMYFUNCTION("""COMPUTED_VALUE""")," ")</f>
        <v xml:space="preserve"> </v>
      </c>
      <c r="AM34" s="1" t="str">
        <f ca="1">IFERROR(__xludf.DUMMYFUNCTION("""COMPUTED_VALUE""")," ")</f>
        <v xml:space="preserve"> </v>
      </c>
      <c r="AN34" s="1" t="str">
        <f ca="1">IFERROR(__xludf.DUMMYFUNCTION("""COMPUTED_VALUE""")," ")</f>
        <v xml:space="preserve"> </v>
      </c>
      <c r="AO34" s="1"/>
      <c r="AP34" s="1"/>
      <c r="AQ34" s="1"/>
      <c r="AR34" s="1"/>
      <c r="AS34" s="1" t="str">
        <f ca="1">IFERROR(__xludf.DUMMYFUNCTION("""COMPUTED_VALUE""")," ")</f>
        <v xml:space="preserve"> </v>
      </c>
      <c r="AT34" s="1" t="str">
        <f ca="1">IFERROR(__xludf.DUMMYFUNCTION("""COMPUTED_VALUE""")," ")</f>
        <v xml:space="preserve"> </v>
      </c>
      <c r="AU34" s="1" t="str">
        <f ca="1">IFERROR(__xludf.DUMMYFUNCTION("""COMPUTED_VALUE""")," ")</f>
        <v xml:space="preserve"> </v>
      </c>
      <c r="AV34" s="1" t="str">
        <f ca="1">IFERROR(__xludf.DUMMYFUNCTION("""COMPUTED_VALUE""")," ")</f>
        <v xml:space="preserve"> </v>
      </c>
      <c r="AW34" s="1"/>
      <c r="AX34" s="1"/>
      <c r="AY34" s="1"/>
      <c r="AZ34" s="1"/>
      <c r="BA34" s="1" t="str">
        <f ca="1">IFERROR(__xludf.DUMMYFUNCTION("""COMPUTED_VALUE""")," ")</f>
        <v xml:space="preserve"> </v>
      </c>
      <c r="BB34" s="1" t="str">
        <f ca="1">IFERROR(__xludf.DUMMYFUNCTION("""COMPUTED_VALUE""")," ")</f>
        <v xml:space="preserve"> </v>
      </c>
      <c r="BC34" s="1" t="str">
        <f ca="1">IFERROR(__xludf.DUMMYFUNCTION("""COMPUTED_VALUE""")," ")</f>
        <v xml:space="preserve"> </v>
      </c>
      <c r="BD34" s="1" t="str">
        <f ca="1">IFERROR(__xludf.DUMMYFUNCTION("""COMPUTED_VALUE""")," ")</f>
        <v xml:space="preserve"> </v>
      </c>
      <c r="BE34" s="1"/>
      <c r="BF34" s="1"/>
      <c r="BG34" s="1"/>
      <c r="BH34" s="1"/>
      <c r="BI34" s="1"/>
      <c r="BJ34" s="1"/>
    </row>
    <row r="35" spans="1:62" x14ac:dyDescent="0.25">
      <c r="A35" s="1">
        <f ca="1">IFERROR(__xludf.DUMMYFUNCTION("""COMPUTED_VALUE"""),33)</f>
        <v>33</v>
      </c>
      <c r="B35" s="1" t="str">
        <f ca="1">IFERROR(__xludf.DUMMYFUNCTION("""COMPUTED_VALUE"""),"David Morgan")</f>
        <v>David Morgan</v>
      </c>
      <c r="C35" s="1" t="str">
        <f ca="1">IFERROR(__xludf.DUMMYFUNCTION("""COMPUTED_VALUE"""),"M40")</f>
        <v>M40</v>
      </c>
      <c r="D35" s="1" t="str">
        <f ca="1">IFERROR(__xludf.DUMMYFUNCTION("""COMPUTED_VALUE"""),"Annadale Striders")</f>
        <v>Annadale Striders</v>
      </c>
      <c r="E35" s="3">
        <f ca="1">IFERROR(__xludf.DUMMYFUNCTION("""COMPUTED_VALUE"""),0.0130092592592592)</f>
        <v>1.30092592592592E-2</v>
      </c>
      <c r="F35" s="1">
        <f ca="1">IFERROR(__xludf.DUMMYFUNCTION("""COMPUTED_VALUE"""),33)</f>
        <v>33</v>
      </c>
      <c r="G35" s="1" t="str">
        <f ca="1">IFERROR(__xludf.DUMMYFUNCTION("""COMPUTED_VALUE"""),"Dualta McGleenan")</f>
        <v>Dualta McGleenan</v>
      </c>
      <c r="H35" s="1" t="str">
        <f ca="1">IFERROR(__xludf.DUMMYFUNCTION("""COMPUTED_VALUE"""),"U13B")</f>
        <v>U13B</v>
      </c>
      <c r="I35" s="1" t="str">
        <f ca="1">IFERROR(__xludf.DUMMYFUNCTION("""COMPUTED_VALUE"""),"North Belfast Harriers")</f>
        <v>North Belfast Harriers</v>
      </c>
      <c r="J35" s="3">
        <f ca="1">IFERROR(__xludf.DUMMYFUNCTION("""COMPUTED_VALUE"""),0.00469907407407407)</f>
        <v>4.6990740740740699E-3</v>
      </c>
      <c r="K35" s="1">
        <f ca="1">IFERROR(__xludf.DUMMYFUNCTION("""COMPUTED_VALUE"""),33)</f>
        <v>33</v>
      </c>
      <c r="L35" s="1" t="str">
        <f ca="1">IFERROR(__xludf.DUMMYFUNCTION("""COMPUTED_VALUE"""),"Niamh O'Connell")</f>
        <v>Niamh O'Connell</v>
      </c>
      <c r="M35" s="1" t="str">
        <f ca="1">IFERROR(__xludf.DUMMYFUNCTION("""COMPUTED_VALUE"""),"F45")</f>
        <v>F45</v>
      </c>
      <c r="N35" s="1" t="str">
        <f ca="1">IFERROR(__xludf.DUMMYFUNCTION("""COMPUTED_VALUE"""),"Murlough AC")</f>
        <v>Murlough AC</v>
      </c>
      <c r="O35" s="3">
        <f ca="1">IFERROR(__xludf.DUMMYFUNCTION("""COMPUTED_VALUE"""),0.015011574074074)</f>
        <v>1.5011574074074E-2</v>
      </c>
      <c r="P35" s="1">
        <f ca="1">IFERROR(__xludf.DUMMYFUNCTION("""COMPUTED_VALUE"""),33)</f>
        <v>33</v>
      </c>
      <c r="Q35" s="1" t="str">
        <f ca="1">IFERROR(__xludf.DUMMYFUNCTION("""COMPUTED_VALUE"""),"Adam Cox")</f>
        <v>Adam Cox</v>
      </c>
      <c r="R35" s="1" t="str">
        <f ca="1">IFERROR(__xludf.DUMMYFUNCTION("""COMPUTED_VALUE"""),"U17B")</f>
        <v>U17B</v>
      </c>
      <c r="S35" s="1" t="str">
        <f ca="1">IFERROR(__xludf.DUMMYFUNCTION("""COMPUTED_VALUE"""),"St Michael's Enniskillen")</f>
        <v>St Michael's Enniskillen</v>
      </c>
      <c r="T35" s="3">
        <f ca="1">IFERROR(__xludf.DUMMYFUNCTION("""COMPUTED_VALUE"""),0.00900462962962963)</f>
        <v>9.0046296296296298E-3</v>
      </c>
      <c r="U35" s="1">
        <f ca="1">IFERROR(__xludf.DUMMYFUNCTION("""COMPUTED_VALUE"""),33)</f>
        <v>33</v>
      </c>
      <c r="V35" s="1" t="str">
        <f ca="1">IFERROR(__xludf.DUMMYFUNCTION("""COMPUTED_VALUE"""),"Adam Hilditch")</f>
        <v>Adam Hilditch</v>
      </c>
      <c r="W35" s="1" t="str">
        <f ca="1">IFERROR(__xludf.DUMMYFUNCTION("""COMPUTED_VALUE"""),"MO")</f>
        <v>MO</v>
      </c>
      <c r="X35" s="1" t="str">
        <f ca="1">IFERROR(__xludf.DUMMYFUNCTION("""COMPUTED_VALUE"""),"Annadale Striders")</f>
        <v>Annadale Striders</v>
      </c>
      <c r="Y35" s="3">
        <f ca="1">IFERROR(__xludf.DUMMYFUNCTION("""COMPUTED_VALUE"""),0.0166435185185185)</f>
        <v>1.6643518518518498E-2</v>
      </c>
      <c r="Z35" s="1"/>
      <c r="AA35" s="1"/>
      <c r="AB35" s="1"/>
      <c r="AC35" s="1"/>
      <c r="AD35" s="1">
        <f ca="1">IFERROR(__xludf.DUMMYFUNCTION("""COMPUTED_VALUE"""),33)</f>
        <v>33</v>
      </c>
      <c r="AE35" s="1" t="str">
        <f ca="1">IFERROR(__xludf.DUMMYFUNCTION("""COMPUTED_VALUE"""),"Freddie Ferguson")</f>
        <v>Freddie Ferguson</v>
      </c>
      <c r="AF35" s="1" t="str">
        <f ca="1">IFERROR(__xludf.DUMMYFUNCTION("""COMPUTED_VALUE"""),"East Down AC")</f>
        <v>East Down AC</v>
      </c>
      <c r="AG35" s="3">
        <f ca="1">IFERROR(__xludf.DUMMYFUNCTION("""COMPUTED_VALUE"""),0.00511574074074074)</f>
        <v>5.1157407407407401E-3</v>
      </c>
      <c r="AH35" s="1"/>
      <c r="AI35" s="1"/>
      <c r="AJ35" s="1"/>
      <c r="AK35" s="1"/>
      <c r="AL35" s="1" t="str">
        <f ca="1">IFERROR(__xludf.DUMMYFUNCTION("""COMPUTED_VALUE""")," ")</f>
        <v xml:space="preserve"> </v>
      </c>
      <c r="AM35" s="1" t="str">
        <f ca="1">IFERROR(__xludf.DUMMYFUNCTION("""COMPUTED_VALUE""")," ")</f>
        <v xml:space="preserve"> </v>
      </c>
      <c r="AN35" s="1" t="str">
        <f ca="1">IFERROR(__xludf.DUMMYFUNCTION("""COMPUTED_VALUE""")," ")</f>
        <v xml:space="preserve"> </v>
      </c>
      <c r="AO35" s="1"/>
      <c r="AP35" s="1"/>
      <c r="AQ35" s="1"/>
      <c r="AR35" s="1"/>
      <c r="AS35" s="1" t="str">
        <f ca="1">IFERROR(__xludf.DUMMYFUNCTION("""COMPUTED_VALUE""")," ")</f>
        <v xml:space="preserve"> </v>
      </c>
      <c r="AT35" s="1" t="str">
        <f ca="1">IFERROR(__xludf.DUMMYFUNCTION("""COMPUTED_VALUE""")," ")</f>
        <v xml:space="preserve"> </v>
      </c>
      <c r="AU35" s="1" t="str">
        <f ca="1">IFERROR(__xludf.DUMMYFUNCTION("""COMPUTED_VALUE""")," ")</f>
        <v xml:space="preserve"> </v>
      </c>
      <c r="AV35" s="1" t="str">
        <f ca="1">IFERROR(__xludf.DUMMYFUNCTION("""COMPUTED_VALUE""")," ")</f>
        <v xml:space="preserve"> </v>
      </c>
      <c r="AW35" s="1"/>
      <c r="AX35" s="1"/>
      <c r="AY35" s="1"/>
      <c r="AZ35" s="1"/>
      <c r="BA35" s="1" t="str">
        <f ca="1">IFERROR(__xludf.DUMMYFUNCTION("""COMPUTED_VALUE""")," ")</f>
        <v xml:space="preserve"> </v>
      </c>
      <c r="BB35" s="1" t="str">
        <f ca="1">IFERROR(__xludf.DUMMYFUNCTION("""COMPUTED_VALUE""")," ")</f>
        <v xml:space="preserve"> </v>
      </c>
      <c r="BC35" s="1" t="str">
        <f ca="1">IFERROR(__xludf.DUMMYFUNCTION("""COMPUTED_VALUE""")," ")</f>
        <v xml:space="preserve"> </v>
      </c>
      <c r="BD35" s="1" t="str">
        <f ca="1">IFERROR(__xludf.DUMMYFUNCTION("""COMPUTED_VALUE""")," ")</f>
        <v xml:space="preserve"> </v>
      </c>
      <c r="BE35" s="1"/>
      <c r="BF35" s="1"/>
      <c r="BG35" s="1"/>
      <c r="BH35" s="1"/>
      <c r="BI35" s="1"/>
      <c r="BJ35" s="1"/>
    </row>
    <row r="36" spans="1:62" x14ac:dyDescent="0.25">
      <c r="A36" s="1">
        <f ca="1">IFERROR(__xludf.DUMMYFUNCTION("""COMPUTED_VALUE"""),34)</f>
        <v>34</v>
      </c>
      <c r="B36" s="1" t="str">
        <f ca="1">IFERROR(__xludf.DUMMYFUNCTION("""COMPUTED_VALUE"""),"Martin Willcox")</f>
        <v>Martin Willcox</v>
      </c>
      <c r="C36" s="1" t="str">
        <f ca="1">IFERROR(__xludf.DUMMYFUNCTION("""COMPUTED_VALUE"""),"M50")</f>
        <v>M50</v>
      </c>
      <c r="D36" s="1" t="str">
        <f ca="1">IFERROR(__xludf.DUMMYFUNCTION("""COMPUTED_VALUE"""),"East Down AC")</f>
        <v>East Down AC</v>
      </c>
      <c r="E36" s="3">
        <f ca="1">IFERROR(__xludf.DUMMYFUNCTION("""COMPUTED_VALUE"""),0.0130671296296296)</f>
        <v>1.30671296296296E-2</v>
      </c>
      <c r="F36" s="1">
        <f ca="1">IFERROR(__xludf.DUMMYFUNCTION("""COMPUTED_VALUE"""),34)</f>
        <v>34</v>
      </c>
      <c r="G36" s="1" t="str">
        <f ca="1">IFERROR(__xludf.DUMMYFUNCTION("""COMPUTED_VALUE"""),"Erin Easton")</f>
        <v>Erin Easton</v>
      </c>
      <c r="H36" s="1" t="str">
        <f ca="1">IFERROR(__xludf.DUMMYFUNCTION("""COMPUTED_VALUE"""),"U13G")</f>
        <v>U13G</v>
      </c>
      <c r="I36" s="1" t="str">
        <f ca="1">IFERROR(__xludf.DUMMYFUNCTION("""COMPUTED_VALUE"""),"Newcastle &amp; District AC")</f>
        <v>Newcastle &amp; District AC</v>
      </c>
      <c r="J36" s="3">
        <f ca="1">IFERROR(__xludf.DUMMYFUNCTION("""COMPUTED_VALUE"""),0.00471064814814814)</f>
        <v>4.71064814814814E-3</v>
      </c>
      <c r="K36" s="1">
        <f ca="1">IFERROR(__xludf.DUMMYFUNCTION("""COMPUTED_VALUE"""),34)</f>
        <v>34</v>
      </c>
      <c r="L36" s="1" t="str">
        <f ca="1">IFERROR(__xludf.DUMMYFUNCTION("""COMPUTED_VALUE"""),"Jillian Redpath")</f>
        <v>Jillian Redpath</v>
      </c>
      <c r="M36" s="1" t="str">
        <f ca="1">IFERROR(__xludf.DUMMYFUNCTION("""COMPUTED_VALUE"""),"F45")</f>
        <v>F45</v>
      </c>
      <c r="N36" s="1" t="str">
        <f ca="1">IFERROR(__xludf.DUMMYFUNCTION("""COMPUTED_VALUE"""),"Dromore AC")</f>
        <v>Dromore AC</v>
      </c>
      <c r="O36" s="3">
        <f ca="1">IFERROR(__xludf.DUMMYFUNCTION("""COMPUTED_VALUE"""),0.0150925925925925)</f>
        <v>1.50925925925925E-2</v>
      </c>
      <c r="P36" s="1">
        <f ca="1">IFERROR(__xludf.DUMMYFUNCTION("""COMPUTED_VALUE"""),34)</f>
        <v>34</v>
      </c>
      <c r="Q36" s="1" t="str">
        <f ca="1">IFERROR(__xludf.DUMMYFUNCTION("""COMPUTED_VALUE"""),"Maxwell Murphy")</f>
        <v>Maxwell Murphy</v>
      </c>
      <c r="R36" s="1" t="str">
        <f ca="1">IFERROR(__xludf.DUMMYFUNCTION("""COMPUTED_VALUE"""),"U15B")</f>
        <v>U15B</v>
      </c>
      <c r="S36" s="1" t="str">
        <f ca="1">IFERROR(__xludf.DUMMYFUNCTION("""COMPUTED_VALUE"""),"St Michael's Enniskillen")</f>
        <v>St Michael's Enniskillen</v>
      </c>
      <c r="T36" s="3">
        <f ca="1">IFERROR(__xludf.DUMMYFUNCTION("""COMPUTED_VALUE"""),0.0090625)</f>
        <v>9.0624999999999994E-3</v>
      </c>
      <c r="U36" s="1">
        <f ca="1">IFERROR(__xludf.DUMMYFUNCTION("""COMPUTED_VALUE"""),34)</f>
        <v>34</v>
      </c>
      <c r="V36" s="1" t="str">
        <f ca="1">IFERROR(__xludf.DUMMYFUNCTION("""COMPUTED_VALUE"""),"Ashley Dixon")</f>
        <v>Ashley Dixon</v>
      </c>
      <c r="W36" s="1" t="str">
        <f ca="1">IFERROR(__xludf.DUMMYFUNCTION("""COMPUTED_VALUE"""),"MO")</f>
        <v>MO</v>
      </c>
      <c r="X36" s="1" t="str">
        <f ca="1">IFERROR(__xludf.DUMMYFUNCTION("""COMPUTED_VALUE"""),"North Down AC")</f>
        <v>North Down AC</v>
      </c>
      <c r="Y36" s="3">
        <f ca="1">IFERROR(__xludf.DUMMYFUNCTION("""COMPUTED_VALUE"""),0.0166898148148148)</f>
        <v>1.66898148148148E-2</v>
      </c>
      <c r="Z36" s="1"/>
      <c r="AA36" s="1"/>
      <c r="AB36" s="1"/>
      <c r="AC36" s="1"/>
      <c r="AD36" s="1">
        <f ca="1">IFERROR(__xludf.DUMMYFUNCTION("""COMPUTED_VALUE"""),34)</f>
        <v>34</v>
      </c>
      <c r="AE36" s="1" t="str">
        <f ca="1">IFERROR(__xludf.DUMMYFUNCTION("""COMPUTED_VALUE"""),"Thomas Hendron")</f>
        <v>Thomas Hendron</v>
      </c>
      <c r="AF36" s="1" t="str">
        <f ca="1">IFERROR(__xludf.DUMMYFUNCTION("""COMPUTED_VALUE"""),"Willowfield Harriers")</f>
        <v>Willowfield Harriers</v>
      </c>
      <c r="AG36" s="3">
        <f ca="1">IFERROR(__xludf.DUMMYFUNCTION("""COMPUTED_VALUE"""),0.00513888888888888)</f>
        <v>5.1388888888888803E-3</v>
      </c>
      <c r="AH36" s="1"/>
      <c r="AI36" s="1"/>
      <c r="AJ36" s="1"/>
      <c r="AK36" s="1"/>
      <c r="AL36" s="1" t="str">
        <f ca="1">IFERROR(__xludf.DUMMYFUNCTION("""COMPUTED_VALUE""")," ")</f>
        <v xml:space="preserve"> </v>
      </c>
      <c r="AM36" s="1" t="str">
        <f ca="1">IFERROR(__xludf.DUMMYFUNCTION("""COMPUTED_VALUE""")," ")</f>
        <v xml:space="preserve"> </v>
      </c>
      <c r="AN36" s="1" t="str">
        <f ca="1">IFERROR(__xludf.DUMMYFUNCTION("""COMPUTED_VALUE""")," ")</f>
        <v xml:space="preserve"> </v>
      </c>
      <c r="AO36" s="1"/>
      <c r="AP36" s="1"/>
      <c r="AQ36" s="1"/>
      <c r="AR36" s="1"/>
      <c r="AS36" s="1" t="str">
        <f ca="1">IFERROR(__xludf.DUMMYFUNCTION("""COMPUTED_VALUE""")," ")</f>
        <v xml:space="preserve"> </v>
      </c>
      <c r="AT36" s="1" t="str">
        <f ca="1">IFERROR(__xludf.DUMMYFUNCTION("""COMPUTED_VALUE""")," ")</f>
        <v xml:space="preserve"> </v>
      </c>
      <c r="AU36" s="1" t="str">
        <f ca="1">IFERROR(__xludf.DUMMYFUNCTION("""COMPUTED_VALUE""")," ")</f>
        <v xml:space="preserve"> </v>
      </c>
      <c r="AV36" s="1" t="str">
        <f ca="1">IFERROR(__xludf.DUMMYFUNCTION("""COMPUTED_VALUE""")," ")</f>
        <v xml:space="preserve"> </v>
      </c>
      <c r="AW36" s="1"/>
      <c r="AX36" s="1"/>
      <c r="AY36" s="1"/>
      <c r="AZ36" s="1"/>
      <c r="BA36" s="1" t="str">
        <f ca="1">IFERROR(__xludf.DUMMYFUNCTION("""COMPUTED_VALUE""")," ")</f>
        <v xml:space="preserve"> </v>
      </c>
      <c r="BB36" s="1" t="str">
        <f ca="1">IFERROR(__xludf.DUMMYFUNCTION("""COMPUTED_VALUE""")," ")</f>
        <v xml:space="preserve"> </v>
      </c>
      <c r="BC36" s="1" t="str">
        <f ca="1">IFERROR(__xludf.DUMMYFUNCTION("""COMPUTED_VALUE""")," ")</f>
        <v xml:space="preserve"> </v>
      </c>
      <c r="BD36" s="1" t="str">
        <f ca="1">IFERROR(__xludf.DUMMYFUNCTION("""COMPUTED_VALUE""")," ")</f>
        <v xml:space="preserve"> </v>
      </c>
      <c r="BE36" s="1"/>
      <c r="BF36" s="1"/>
      <c r="BG36" s="1"/>
      <c r="BH36" s="1"/>
      <c r="BI36" s="1"/>
      <c r="BJ36" s="1"/>
    </row>
    <row r="37" spans="1:62" x14ac:dyDescent="0.25">
      <c r="A37" s="1">
        <f ca="1">IFERROR(__xludf.DUMMYFUNCTION("""COMPUTED_VALUE"""),35)</f>
        <v>35</v>
      </c>
      <c r="B37" s="1" t="str">
        <f ca="1">IFERROR(__xludf.DUMMYFUNCTION("""COMPUTED_VALUE"""),"Peter Scott")</f>
        <v>Peter Scott</v>
      </c>
      <c r="C37" s="1" t="str">
        <f ca="1">IFERROR(__xludf.DUMMYFUNCTION("""COMPUTED_VALUE"""),"M40")</f>
        <v>M40</v>
      </c>
      <c r="D37" s="1" t="str">
        <f ca="1">IFERROR(__xludf.DUMMYFUNCTION("""COMPUTED_VALUE"""),"Scrabo Striders")</f>
        <v>Scrabo Striders</v>
      </c>
      <c r="E37" s="3">
        <f ca="1">IFERROR(__xludf.DUMMYFUNCTION("""COMPUTED_VALUE"""),0.0131134259259259)</f>
        <v>1.31134259259259E-2</v>
      </c>
      <c r="F37" s="1">
        <f ca="1">IFERROR(__xludf.DUMMYFUNCTION("""COMPUTED_VALUE"""),35)</f>
        <v>35</v>
      </c>
      <c r="G37" s="1" t="str">
        <f ca="1">IFERROR(__xludf.DUMMYFUNCTION("""COMPUTED_VALUE"""),"Paul Cox")</f>
        <v>Paul Cox</v>
      </c>
      <c r="H37" s="1" t="str">
        <f ca="1">IFERROR(__xludf.DUMMYFUNCTION("""COMPUTED_VALUE"""),"U13B")</f>
        <v>U13B</v>
      </c>
      <c r="I37" s="1" t="str">
        <f ca="1">IFERROR(__xludf.DUMMYFUNCTION("""COMPUTED_VALUE"""),"St Michael's Enniskillen")</f>
        <v>St Michael's Enniskillen</v>
      </c>
      <c r="J37" s="3">
        <f ca="1">IFERROR(__xludf.DUMMYFUNCTION("""COMPUTED_VALUE"""),0.00472222222222222)</f>
        <v>4.7222222222222197E-3</v>
      </c>
      <c r="K37" s="1">
        <f ca="1">IFERROR(__xludf.DUMMYFUNCTION("""COMPUTED_VALUE"""),35)</f>
        <v>35</v>
      </c>
      <c r="L37" s="1" t="str">
        <f ca="1">IFERROR(__xludf.DUMMYFUNCTION("""COMPUTED_VALUE"""),"Maria Dunlop")</f>
        <v>Maria Dunlop</v>
      </c>
      <c r="M37" s="1" t="str">
        <f ca="1">IFERROR(__xludf.DUMMYFUNCTION("""COMPUTED_VALUE"""),"FO")</f>
        <v>FO</v>
      </c>
      <c r="N37" s="1" t="str">
        <f ca="1">IFERROR(__xludf.DUMMYFUNCTION("""COMPUTED_VALUE"""),"Beechmount Harriers")</f>
        <v>Beechmount Harriers</v>
      </c>
      <c r="O37" s="3">
        <f ca="1">IFERROR(__xludf.DUMMYFUNCTION("""COMPUTED_VALUE"""),0.0151736111111111)</f>
        <v>1.51736111111111E-2</v>
      </c>
      <c r="P37" s="1">
        <f ca="1">IFERROR(__xludf.DUMMYFUNCTION("""COMPUTED_VALUE"""),35)</f>
        <v>35</v>
      </c>
      <c r="Q37" s="1" t="str">
        <f ca="1">IFERROR(__xludf.DUMMYFUNCTION("""COMPUTED_VALUE"""),"Hugh McKenna")</f>
        <v>Hugh McKenna</v>
      </c>
      <c r="R37" s="1" t="str">
        <f ca="1">IFERROR(__xludf.DUMMYFUNCTION("""COMPUTED_VALUE"""),"U15B")</f>
        <v>U15B</v>
      </c>
      <c r="S37" s="1" t="str">
        <f ca="1">IFERROR(__xludf.DUMMYFUNCTION("""COMPUTED_VALUE"""),"Lagan Valley AC")</f>
        <v>Lagan Valley AC</v>
      </c>
      <c r="T37" s="3">
        <f ca="1">IFERROR(__xludf.DUMMYFUNCTION("""COMPUTED_VALUE"""),0.00907407407407407)</f>
        <v>9.0740740740740695E-3</v>
      </c>
      <c r="U37" s="1">
        <f ca="1">IFERROR(__xludf.DUMMYFUNCTION("""COMPUTED_VALUE"""),35)</f>
        <v>35</v>
      </c>
      <c r="V37" s="1" t="str">
        <f ca="1">IFERROR(__xludf.DUMMYFUNCTION("""COMPUTED_VALUE"""),"David Rutherford")</f>
        <v>David Rutherford</v>
      </c>
      <c r="W37" s="1" t="str">
        <f ca="1">IFERROR(__xludf.DUMMYFUNCTION("""COMPUTED_VALUE"""),"MO")</f>
        <v>MO</v>
      </c>
      <c r="X37" s="1" t="str">
        <f ca="1">IFERROR(__xludf.DUMMYFUNCTION("""COMPUTED_VALUE"""),"Annadale Striders")</f>
        <v>Annadale Striders</v>
      </c>
      <c r="Y37" s="3">
        <f ca="1">IFERROR(__xludf.DUMMYFUNCTION("""COMPUTED_VALUE"""),0.0168287037037037)</f>
        <v>1.68287037037037E-2</v>
      </c>
      <c r="Z37" s="1"/>
      <c r="AA37" s="1"/>
      <c r="AB37" s="1"/>
      <c r="AC37" s="1"/>
      <c r="AD37" s="1">
        <f ca="1">IFERROR(__xludf.DUMMYFUNCTION("""COMPUTED_VALUE"""),35)</f>
        <v>35</v>
      </c>
      <c r="AE37" s="1" t="str">
        <f ca="1">IFERROR(__xludf.DUMMYFUNCTION("""COMPUTED_VALUE"""),"Fin Óg McCrystal")</f>
        <v>Fin Óg McCrystal</v>
      </c>
      <c r="AF37" s="1" t="str">
        <f ca="1">IFERROR(__xludf.DUMMYFUNCTION("""COMPUTED_VALUE"""),"St Michael's Enniskillen")</f>
        <v>St Michael's Enniskillen</v>
      </c>
      <c r="AG37" s="3">
        <f ca="1">IFERROR(__xludf.DUMMYFUNCTION("""COMPUTED_VALUE"""),0.00515046296296296)</f>
        <v>5.15046296296296E-3</v>
      </c>
      <c r="AH37" s="1"/>
      <c r="AI37" s="1"/>
      <c r="AJ37" s="1"/>
      <c r="AK37" s="1"/>
      <c r="AL37" s="1" t="str">
        <f ca="1">IFERROR(__xludf.DUMMYFUNCTION("""COMPUTED_VALUE""")," ")</f>
        <v xml:space="preserve"> </v>
      </c>
      <c r="AM37" s="1" t="str">
        <f ca="1">IFERROR(__xludf.DUMMYFUNCTION("""COMPUTED_VALUE""")," ")</f>
        <v xml:space="preserve"> </v>
      </c>
      <c r="AN37" s="1" t="str">
        <f ca="1">IFERROR(__xludf.DUMMYFUNCTION("""COMPUTED_VALUE""")," ")</f>
        <v xml:space="preserve"> </v>
      </c>
      <c r="AO37" s="1"/>
      <c r="AP37" s="1"/>
      <c r="AQ37" s="1"/>
      <c r="AR37" s="1"/>
      <c r="AS37" s="1" t="str">
        <f ca="1">IFERROR(__xludf.DUMMYFUNCTION("""COMPUTED_VALUE""")," ")</f>
        <v xml:space="preserve"> </v>
      </c>
      <c r="AT37" s="1" t="str">
        <f ca="1">IFERROR(__xludf.DUMMYFUNCTION("""COMPUTED_VALUE""")," ")</f>
        <v xml:space="preserve"> </v>
      </c>
      <c r="AU37" s="1" t="str">
        <f ca="1">IFERROR(__xludf.DUMMYFUNCTION("""COMPUTED_VALUE""")," ")</f>
        <v xml:space="preserve"> </v>
      </c>
      <c r="AV37" s="1" t="str">
        <f ca="1">IFERROR(__xludf.DUMMYFUNCTION("""COMPUTED_VALUE""")," ")</f>
        <v xml:space="preserve"> </v>
      </c>
      <c r="AW37" s="1"/>
      <c r="AX37" s="1"/>
      <c r="AY37" s="1"/>
      <c r="AZ37" s="1"/>
      <c r="BA37" s="1" t="str">
        <f ca="1">IFERROR(__xludf.DUMMYFUNCTION("""COMPUTED_VALUE""")," ")</f>
        <v xml:space="preserve"> </v>
      </c>
      <c r="BB37" s="1" t="str">
        <f ca="1">IFERROR(__xludf.DUMMYFUNCTION("""COMPUTED_VALUE""")," ")</f>
        <v xml:space="preserve"> </v>
      </c>
      <c r="BC37" s="1" t="str">
        <f ca="1">IFERROR(__xludf.DUMMYFUNCTION("""COMPUTED_VALUE""")," ")</f>
        <v xml:space="preserve"> </v>
      </c>
      <c r="BD37" s="1" t="str">
        <f ca="1">IFERROR(__xludf.DUMMYFUNCTION("""COMPUTED_VALUE""")," ")</f>
        <v xml:space="preserve"> </v>
      </c>
      <c r="BE37" s="1"/>
      <c r="BF37" s="1"/>
      <c r="BG37" s="1"/>
      <c r="BH37" s="1"/>
      <c r="BI37" s="1"/>
      <c r="BJ37" s="1"/>
    </row>
    <row r="38" spans="1:62" x14ac:dyDescent="0.25">
      <c r="A38" s="1">
        <f ca="1">IFERROR(__xludf.DUMMYFUNCTION("""COMPUTED_VALUE"""),36)</f>
        <v>36</v>
      </c>
      <c r="B38" s="1" t="str">
        <f ca="1">IFERROR(__xludf.DUMMYFUNCTION("""COMPUTED_VALUE"""),"Philip Murdock")</f>
        <v>Philip Murdock</v>
      </c>
      <c r="C38" s="1" t="str">
        <f ca="1">IFERROR(__xludf.DUMMYFUNCTION("""COMPUTED_VALUE"""),"M50")</f>
        <v>M50</v>
      </c>
      <c r="D38" s="1" t="str">
        <f ca="1">IFERROR(__xludf.DUMMYFUNCTION("""COMPUTED_VALUE"""),"Newcastle &amp; District AC")</f>
        <v>Newcastle &amp; District AC</v>
      </c>
      <c r="E38" s="3">
        <f ca="1">IFERROR(__xludf.DUMMYFUNCTION("""COMPUTED_VALUE"""),0.0132060185185185)</f>
        <v>1.3206018518518501E-2</v>
      </c>
      <c r="F38" s="1">
        <f ca="1">IFERROR(__xludf.DUMMYFUNCTION("""COMPUTED_VALUE"""),36)</f>
        <v>36</v>
      </c>
      <c r="G38" s="1" t="str">
        <f ca="1">IFERROR(__xludf.DUMMYFUNCTION("""COMPUTED_VALUE"""),"Luke Braniff")</f>
        <v>Luke Braniff</v>
      </c>
      <c r="H38" s="1" t="str">
        <f ca="1">IFERROR(__xludf.DUMMYFUNCTION("""COMPUTED_VALUE"""),"U13B")</f>
        <v>U13B</v>
      </c>
      <c r="I38" s="1" t="str">
        <f ca="1">IFERROR(__xludf.DUMMYFUNCTION("""COMPUTED_VALUE"""),"Scrabo Striders")</f>
        <v>Scrabo Striders</v>
      </c>
      <c r="J38" s="3">
        <f ca="1">IFERROR(__xludf.DUMMYFUNCTION("""COMPUTED_VALUE"""),0.00473379629629629)</f>
        <v>4.7337962962962898E-3</v>
      </c>
      <c r="K38" s="1">
        <f ca="1">IFERROR(__xludf.DUMMYFUNCTION("""COMPUTED_VALUE"""),36)</f>
        <v>36</v>
      </c>
      <c r="L38" s="1" t="str">
        <f ca="1">IFERROR(__xludf.DUMMYFUNCTION("""COMPUTED_VALUE"""),"Lindsay Doulton")</f>
        <v>Lindsay Doulton</v>
      </c>
      <c r="M38" s="1" t="str">
        <f ca="1">IFERROR(__xludf.DUMMYFUNCTION("""COMPUTED_VALUE"""),"F40")</f>
        <v>F40</v>
      </c>
      <c r="N38" s="1" t="str">
        <f ca="1">IFERROR(__xludf.DUMMYFUNCTION("""COMPUTED_VALUE"""),"North Down AC")</f>
        <v>North Down AC</v>
      </c>
      <c r="O38" s="3">
        <f ca="1">IFERROR(__xludf.DUMMYFUNCTION("""COMPUTED_VALUE"""),0.0152199074074074)</f>
        <v>1.5219907407407401E-2</v>
      </c>
      <c r="P38" s="1">
        <f ca="1">IFERROR(__xludf.DUMMYFUNCTION("""COMPUTED_VALUE"""),36)</f>
        <v>36</v>
      </c>
      <c r="Q38" s="1" t="str">
        <f ca="1">IFERROR(__xludf.DUMMYFUNCTION("""COMPUTED_VALUE"""),"Caide McLaren")</f>
        <v>Caide McLaren</v>
      </c>
      <c r="R38" s="1" t="str">
        <f ca="1">IFERROR(__xludf.DUMMYFUNCTION("""COMPUTED_VALUE"""),"U17B")</f>
        <v>U17B</v>
      </c>
      <c r="S38" s="1" t="str">
        <f ca="1">IFERROR(__xludf.DUMMYFUNCTION("""COMPUTED_VALUE"""),"Lagan Valley AC")</f>
        <v>Lagan Valley AC</v>
      </c>
      <c r="T38" s="3">
        <f ca="1">IFERROR(__xludf.DUMMYFUNCTION("""COMPUTED_VALUE"""),0.00912037037037037)</f>
        <v>9.1203703703703707E-3</v>
      </c>
      <c r="U38" s="1">
        <f ca="1">IFERROR(__xludf.DUMMYFUNCTION("""COMPUTED_VALUE"""),36)</f>
        <v>36</v>
      </c>
      <c r="V38" s="1" t="str">
        <f ca="1">IFERROR(__xludf.DUMMYFUNCTION("""COMPUTED_VALUE"""),"Chris Anderson")</f>
        <v>Chris Anderson</v>
      </c>
      <c r="W38" s="1" t="str">
        <f ca="1">IFERROR(__xludf.DUMMYFUNCTION("""COMPUTED_VALUE"""),"MO")</f>
        <v>MO</v>
      </c>
      <c r="X38" s="1" t="str">
        <f ca="1">IFERROR(__xludf.DUMMYFUNCTION("""COMPUTED_VALUE"""),"Annadale Striders")</f>
        <v>Annadale Striders</v>
      </c>
      <c r="Y38" s="3">
        <f ca="1">IFERROR(__xludf.DUMMYFUNCTION("""COMPUTED_VALUE"""),0.0168402777777777)</f>
        <v>1.6840277777777701E-2</v>
      </c>
      <c r="Z38" s="1"/>
      <c r="AA38" s="1"/>
      <c r="AB38" s="1"/>
      <c r="AC38" s="1"/>
      <c r="AD38" s="1">
        <f ca="1">IFERROR(__xludf.DUMMYFUNCTION("""COMPUTED_VALUE"""),36)</f>
        <v>36</v>
      </c>
      <c r="AE38" s="1" t="str">
        <f ca="1">IFERROR(__xludf.DUMMYFUNCTION("""COMPUTED_VALUE"""),"Dáire O'Gorman")</f>
        <v>Dáire O'Gorman</v>
      </c>
      <c r="AF38" s="1" t="str">
        <f ca="1">IFERROR(__xludf.DUMMYFUNCTION("""COMPUTED_VALUE"""),"Newcastle &amp; District AC")</f>
        <v>Newcastle &amp; District AC</v>
      </c>
      <c r="AG38" s="3">
        <f ca="1">IFERROR(__xludf.DUMMYFUNCTION("""COMPUTED_VALUE"""),0.00530092592592592)</f>
        <v>5.3009259259259199E-3</v>
      </c>
      <c r="AH38" s="1"/>
      <c r="AI38" s="1"/>
      <c r="AJ38" s="1"/>
      <c r="AK38" s="1"/>
      <c r="AL38" s="1" t="str">
        <f ca="1">IFERROR(__xludf.DUMMYFUNCTION("""COMPUTED_VALUE""")," ")</f>
        <v xml:space="preserve"> </v>
      </c>
      <c r="AM38" s="1" t="str">
        <f ca="1">IFERROR(__xludf.DUMMYFUNCTION("""COMPUTED_VALUE""")," ")</f>
        <v xml:space="preserve"> </v>
      </c>
      <c r="AN38" s="1" t="str">
        <f ca="1">IFERROR(__xludf.DUMMYFUNCTION("""COMPUTED_VALUE""")," ")</f>
        <v xml:space="preserve"> </v>
      </c>
      <c r="AO38" s="1"/>
      <c r="AP38" s="1"/>
      <c r="AQ38" s="1"/>
      <c r="AR38" s="1"/>
      <c r="AS38" s="1" t="str">
        <f ca="1">IFERROR(__xludf.DUMMYFUNCTION("""COMPUTED_VALUE""")," ")</f>
        <v xml:space="preserve"> </v>
      </c>
      <c r="AT38" s="1" t="str">
        <f ca="1">IFERROR(__xludf.DUMMYFUNCTION("""COMPUTED_VALUE""")," ")</f>
        <v xml:space="preserve"> </v>
      </c>
      <c r="AU38" s="1" t="str">
        <f ca="1">IFERROR(__xludf.DUMMYFUNCTION("""COMPUTED_VALUE""")," ")</f>
        <v xml:space="preserve"> </v>
      </c>
      <c r="AV38" s="1" t="str">
        <f ca="1">IFERROR(__xludf.DUMMYFUNCTION("""COMPUTED_VALUE""")," ")</f>
        <v xml:space="preserve"> </v>
      </c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</row>
    <row r="39" spans="1:62" x14ac:dyDescent="0.25">
      <c r="A39" s="1">
        <f ca="1">IFERROR(__xludf.DUMMYFUNCTION("""COMPUTED_VALUE"""),37)</f>
        <v>37</v>
      </c>
      <c r="B39" s="1" t="str">
        <f ca="1">IFERROR(__xludf.DUMMYFUNCTION("""COMPUTED_VALUE"""),"Mark McMahon")</f>
        <v>Mark McMahon</v>
      </c>
      <c r="C39" s="1" t="str">
        <f ca="1">IFERROR(__xludf.DUMMYFUNCTION("""COMPUTED_VALUE"""),"M40")</f>
        <v>M40</v>
      </c>
      <c r="D39" s="1" t="str">
        <f ca="1">IFERROR(__xludf.DUMMYFUNCTION("""COMPUTED_VALUE"""),"Beechmount Harriers")</f>
        <v>Beechmount Harriers</v>
      </c>
      <c r="E39" s="3">
        <f ca="1">IFERROR(__xludf.DUMMYFUNCTION("""COMPUTED_VALUE"""),0.0132291666666666)</f>
        <v>1.3229166666666599E-2</v>
      </c>
      <c r="F39" s="1">
        <f ca="1">IFERROR(__xludf.DUMMYFUNCTION("""COMPUTED_VALUE"""),37)</f>
        <v>37</v>
      </c>
      <c r="G39" s="1" t="str">
        <f ca="1">IFERROR(__xludf.DUMMYFUNCTION("""COMPUTED_VALUE"""),"Emma Flynn")</f>
        <v>Emma Flynn</v>
      </c>
      <c r="H39" s="1" t="str">
        <f ca="1">IFERROR(__xludf.DUMMYFUNCTION("""COMPUTED_VALUE"""),"U13G")</f>
        <v>U13G</v>
      </c>
      <c r="I39" s="1" t="str">
        <f ca="1">IFERROR(__xludf.DUMMYFUNCTION("""COMPUTED_VALUE"""),"Beechmount Harriers")</f>
        <v>Beechmount Harriers</v>
      </c>
      <c r="J39" s="3">
        <f ca="1">IFERROR(__xludf.DUMMYFUNCTION("""COMPUTED_VALUE"""),0.00474537037037037)</f>
        <v>4.7453703703703703E-3</v>
      </c>
      <c r="K39" s="1">
        <f ca="1">IFERROR(__xludf.DUMMYFUNCTION("""COMPUTED_VALUE"""),37)</f>
        <v>37</v>
      </c>
      <c r="L39" s="1" t="str">
        <f ca="1">IFERROR(__xludf.DUMMYFUNCTION("""COMPUTED_VALUE"""),"Victoria McCartney")</f>
        <v>Victoria McCartney</v>
      </c>
      <c r="M39" s="1" t="str">
        <f ca="1">IFERROR(__xludf.DUMMYFUNCTION("""COMPUTED_VALUE"""),"F35")</f>
        <v>F35</v>
      </c>
      <c r="N39" s="1" t="str">
        <f ca="1">IFERROR(__xludf.DUMMYFUNCTION("""COMPUTED_VALUE"""),"Lagan Valley AC")</f>
        <v>Lagan Valley AC</v>
      </c>
      <c r="O39" s="3">
        <f ca="1">IFERROR(__xludf.DUMMYFUNCTION("""COMPUTED_VALUE"""),0.0152314814814814)</f>
        <v>1.52314814814814E-2</v>
      </c>
      <c r="P39" s="1">
        <f ca="1">IFERROR(__xludf.DUMMYFUNCTION("""COMPUTED_VALUE"""),37)</f>
        <v>37</v>
      </c>
      <c r="Q39" s="1" t="str">
        <f ca="1">IFERROR(__xludf.DUMMYFUNCTION("""COMPUTED_VALUE"""),"Oisin Donohoe")</f>
        <v>Oisin Donohoe</v>
      </c>
      <c r="R39" s="1" t="str">
        <f ca="1">IFERROR(__xludf.DUMMYFUNCTION("""COMPUTED_VALUE"""),"U15B")</f>
        <v>U15B</v>
      </c>
      <c r="S39" s="1" t="str">
        <f ca="1">IFERROR(__xludf.DUMMYFUNCTION("""COMPUTED_VALUE"""),"St Michael's Enniskillen")</f>
        <v>St Michael's Enniskillen</v>
      </c>
      <c r="T39" s="3">
        <f ca="1">IFERROR(__xludf.DUMMYFUNCTION("""COMPUTED_VALUE"""),0.00916666666666666)</f>
        <v>9.1666666666666598E-3</v>
      </c>
      <c r="U39" s="1">
        <f ca="1">IFERROR(__xludf.DUMMYFUNCTION("""COMPUTED_VALUE"""),37)</f>
        <v>37</v>
      </c>
      <c r="V39" s="1" t="str">
        <f ca="1">IFERROR(__xludf.DUMMYFUNCTION("""COMPUTED_VALUE"""),"Brendan McCambridge")</f>
        <v>Brendan McCambridge</v>
      </c>
      <c r="W39" s="1" t="str">
        <f ca="1">IFERROR(__xludf.DUMMYFUNCTION("""COMPUTED_VALUE"""),"MJ")</f>
        <v>MJ</v>
      </c>
      <c r="X39" s="1" t="str">
        <f ca="1">IFERROR(__xludf.DUMMYFUNCTION("""COMPUTED_VALUE"""),"North Belfast Harriers")</f>
        <v>North Belfast Harriers</v>
      </c>
      <c r="Y39" s="3">
        <f ca="1">IFERROR(__xludf.DUMMYFUNCTION("""COMPUTED_VALUE"""),0.0169675925925925)</f>
        <v>1.6967592592592499E-2</v>
      </c>
      <c r="Z39" s="1"/>
      <c r="AA39" s="1"/>
      <c r="AB39" s="1"/>
      <c r="AC39" s="1"/>
      <c r="AD39" s="1">
        <f ca="1">IFERROR(__xludf.DUMMYFUNCTION("""COMPUTED_VALUE"""),37)</f>
        <v>37</v>
      </c>
      <c r="AE39" s="1" t="str">
        <f ca="1">IFERROR(__xludf.DUMMYFUNCTION("""COMPUTED_VALUE"""),"Leon Moore")</f>
        <v>Leon Moore</v>
      </c>
      <c r="AF39" s="1" t="str">
        <f ca="1">IFERROR(__xludf.DUMMYFUNCTION("""COMPUTED_VALUE"""),"St Michael's Enniskillen")</f>
        <v>St Michael's Enniskillen</v>
      </c>
      <c r="AG39" s="3">
        <f ca="1">IFERROR(__xludf.DUMMYFUNCTION("""COMPUTED_VALUE"""),0.00575231481481481)</f>
        <v>5.7523148148148099E-3</v>
      </c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 t="str">
        <f ca="1">IFERROR(__xludf.DUMMYFUNCTION("""COMPUTED_VALUE""")," ")</f>
        <v xml:space="preserve"> </v>
      </c>
      <c r="AT39" s="1" t="str">
        <f ca="1">IFERROR(__xludf.DUMMYFUNCTION("""COMPUTED_VALUE""")," ")</f>
        <v xml:space="preserve"> </v>
      </c>
      <c r="AU39" s="1" t="str">
        <f ca="1">IFERROR(__xludf.DUMMYFUNCTION("""COMPUTED_VALUE""")," ")</f>
        <v xml:space="preserve"> </v>
      </c>
      <c r="AV39" s="1" t="str">
        <f ca="1">IFERROR(__xludf.DUMMYFUNCTION("""COMPUTED_VALUE""")," ")</f>
        <v xml:space="preserve"> </v>
      </c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</row>
    <row r="40" spans="1:62" x14ac:dyDescent="0.25">
      <c r="A40" s="1">
        <f ca="1">IFERROR(__xludf.DUMMYFUNCTION("""COMPUTED_VALUE"""),38)</f>
        <v>38</v>
      </c>
      <c r="B40" s="1" t="str">
        <f ca="1">IFERROR(__xludf.DUMMYFUNCTION("""COMPUTED_VALUE"""),"Dee Murray")</f>
        <v>Dee Murray</v>
      </c>
      <c r="C40" s="1" t="str">
        <f ca="1">IFERROR(__xludf.DUMMYFUNCTION("""COMPUTED_VALUE"""),"M50")</f>
        <v>M50</v>
      </c>
      <c r="D40" s="1" t="str">
        <f ca="1">IFERROR(__xludf.DUMMYFUNCTION("""COMPUTED_VALUE"""),"East Down AC")</f>
        <v>East Down AC</v>
      </c>
      <c r="E40" s="3">
        <f ca="1">IFERROR(__xludf.DUMMYFUNCTION("""COMPUTED_VALUE"""),0.0132638888888888)</f>
        <v>1.3263888888888801E-2</v>
      </c>
      <c r="F40" s="1">
        <f ca="1">IFERROR(__xludf.DUMMYFUNCTION("""COMPUTED_VALUE"""),38)</f>
        <v>38</v>
      </c>
      <c r="G40" s="1" t="str">
        <f ca="1">IFERROR(__xludf.DUMMYFUNCTION("""COMPUTED_VALUE"""),"Beth Heron")</f>
        <v>Beth Heron</v>
      </c>
      <c r="H40" s="1" t="str">
        <f ca="1">IFERROR(__xludf.DUMMYFUNCTION("""COMPUTED_VALUE"""),"U13G")</f>
        <v>U13G</v>
      </c>
      <c r="I40" s="1" t="str">
        <f ca="1">IFERROR(__xludf.DUMMYFUNCTION("""COMPUTED_VALUE"""),"Loughview AC")</f>
        <v>Loughview AC</v>
      </c>
      <c r="J40" s="3">
        <f ca="1">IFERROR(__xludf.DUMMYFUNCTION("""COMPUTED_VALUE"""),0.00474537037037037)</f>
        <v>4.7453703703703703E-3</v>
      </c>
      <c r="K40" s="1">
        <f ca="1">IFERROR(__xludf.DUMMYFUNCTION("""COMPUTED_VALUE"""),38)</f>
        <v>38</v>
      </c>
      <c r="L40" s="1" t="str">
        <f ca="1">IFERROR(__xludf.DUMMYFUNCTION("""COMPUTED_VALUE"""),"Amanda Jackson")</f>
        <v>Amanda Jackson</v>
      </c>
      <c r="M40" s="1" t="str">
        <f ca="1">IFERROR(__xludf.DUMMYFUNCTION("""COMPUTED_VALUE"""),"F45")</f>
        <v>F45</v>
      </c>
      <c r="N40" s="1" t="str">
        <f ca="1">IFERROR(__xludf.DUMMYFUNCTION("""COMPUTED_VALUE"""),"Ballydrain Harriers")</f>
        <v>Ballydrain Harriers</v>
      </c>
      <c r="O40" s="3">
        <f ca="1">IFERROR(__xludf.DUMMYFUNCTION("""COMPUTED_VALUE"""),0.0152430555555555)</f>
        <v>1.5243055555555499E-2</v>
      </c>
      <c r="P40" s="1">
        <f ca="1">IFERROR(__xludf.DUMMYFUNCTION("""COMPUTED_VALUE"""),38)</f>
        <v>38</v>
      </c>
      <c r="Q40" s="1" t="str">
        <f ca="1">IFERROR(__xludf.DUMMYFUNCTION("""COMPUTED_VALUE"""),"Jack Crudden")</f>
        <v>Jack Crudden</v>
      </c>
      <c r="R40" s="1" t="str">
        <f ca="1">IFERROR(__xludf.DUMMYFUNCTION("""COMPUTED_VALUE"""),"U15B")</f>
        <v>U15B</v>
      </c>
      <c r="S40" s="1" t="str">
        <f ca="1">IFERROR(__xludf.DUMMYFUNCTION("""COMPUTED_VALUE"""),"St Michael's Enniskillen")</f>
        <v>St Michael's Enniskillen</v>
      </c>
      <c r="T40" s="3">
        <f ca="1">IFERROR(__xludf.DUMMYFUNCTION("""COMPUTED_VALUE"""),0.00921296296296296)</f>
        <v>9.2129629629629593E-3</v>
      </c>
      <c r="U40" s="1">
        <f ca="1">IFERROR(__xludf.DUMMYFUNCTION("""COMPUTED_VALUE"""),38)</f>
        <v>38</v>
      </c>
      <c r="V40" s="1" t="str">
        <f ca="1">IFERROR(__xludf.DUMMYFUNCTION("""COMPUTED_VALUE"""),"Roger Aiken")</f>
        <v>Roger Aiken</v>
      </c>
      <c r="W40" s="1" t="str">
        <f ca="1">IFERROR(__xludf.DUMMYFUNCTION("""COMPUTED_VALUE"""),"M40")</f>
        <v>M40</v>
      </c>
      <c r="X40" s="1" t="str">
        <f ca="1">IFERROR(__xludf.DUMMYFUNCTION("""COMPUTED_VALUE"""),"Dromore AC")</f>
        <v>Dromore AC</v>
      </c>
      <c r="Y40" s="3">
        <f ca="1">IFERROR(__xludf.DUMMYFUNCTION("""COMPUTED_VALUE"""),0.0170833333333333)</f>
        <v>1.7083333333333301E-2</v>
      </c>
      <c r="Z40" s="1"/>
      <c r="AA40" s="1"/>
      <c r="AB40" s="1"/>
      <c r="AC40" s="1"/>
      <c r="AD40" s="1" t="str">
        <f ca="1">IFERROR(__xludf.DUMMYFUNCTION("""COMPUTED_VALUE""")," ")</f>
        <v xml:space="preserve"> </v>
      </c>
      <c r="AE40" s="1" t="str">
        <f ca="1">IFERROR(__xludf.DUMMYFUNCTION("""COMPUTED_VALUE""")," ")</f>
        <v xml:space="preserve"> </v>
      </c>
      <c r="AF40" s="1" t="str">
        <f ca="1">IFERROR(__xludf.DUMMYFUNCTION("""COMPUTED_VALUE""")," ")</f>
        <v xml:space="preserve"> </v>
      </c>
      <c r="AG40" s="1" t="str">
        <f ca="1">IFERROR(__xludf.DUMMYFUNCTION("""COMPUTED_VALUE""")," ")</f>
        <v xml:space="preserve"> </v>
      </c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 t="str">
        <f ca="1">IFERROR(__xludf.DUMMYFUNCTION("""COMPUTED_VALUE""")," ")</f>
        <v xml:space="preserve"> </v>
      </c>
      <c r="AT40" s="1" t="str">
        <f ca="1">IFERROR(__xludf.DUMMYFUNCTION("""COMPUTED_VALUE""")," ")</f>
        <v xml:space="preserve"> </v>
      </c>
      <c r="AU40" s="1" t="str">
        <f ca="1">IFERROR(__xludf.DUMMYFUNCTION("""COMPUTED_VALUE""")," ")</f>
        <v xml:space="preserve"> </v>
      </c>
      <c r="AV40" s="1" t="str">
        <f ca="1">IFERROR(__xludf.DUMMYFUNCTION("""COMPUTED_VALUE""")," ")</f>
        <v xml:space="preserve"> </v>
      </c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</row>
    <row r="41" spans="1:62" x14ac:dyDescent="0.25">
      <c r="A41" s="1">
        <f ca="1">IFERROR(__xludf.DUMMYFUNCTION("""COMPUTED_VALUE"""),39)</f>
        <v>39</v>
      </c>
      <c r="B41" s="1" t="str">
        <f ca="1">IFERROR(__xludf.DUMMYFUNCTION("""COMPUTED_VALUE"""),"Michael Boyd")</f>
        <v>Michael Boyd</v>
      </c>
      <c r="C41" s="1" t="str">
        <f ca="1">IFERROR(__xludf.DUMMYFUNCTION("""COMPUTED_VALUE"""),"M45")</f>
        <v>M45</v>
      </c>
      <c r="D41" s="1" t="str">
        <f ca="1">IFERROR(__xludf.DUMMYFUNCTION("""COMPUTED_VALUE"""),"North Down AC")</f>
        <v>North Down AC</v>
      </c>
      <c r="E41" s="3">
        <f ca="1">IFERROR(__xludf.DUMMYFUNCTION("""COMPUTED_VALUE"""),0.0133101851851851)</f>
        <v>1.33101851851851E-2</v>
      </c>
      <c r="F41" s="1">
        <f ca="1">IFERROR(__xludf.DUMMYFUNCTION("""COMPUTED_VALUE"""),39)</f>
        <v>39</v>
      </c>
      <c r="G41" s="1" t="str">
        <f ca="1">IFERROR(__xludf.DUMMYFUNCTION("""COMPUTED_VALUE"""),"Nicholas Boyd")</f>
        <v>Nicholas Boyd</v>
      </c>
      <c r="H41" s="1" t="str">
        <f ca="1">IFERROR(__xludf.DUMMYFUNCTION("""COMPUTED_VALUE"""),"U13B")</f>
        <v>U13B</v>
      </c>
      <c r="I41" s="1" t="str">
        <f ca="1">IFERROR(__xludf.DUMMYFUNCTION("""COMPUTED_VALUE"""),"Willowfield Harriers")</f>
        <v>Willowfield Harriers</v>
      </c>
      <c r="J41" s="3">
        <f ca="1">IFERROR(__xludf.DUMMYFUNCTION("""COMPUTED_VALUE"""),0.00475694444444444)</f>
        <v>4.7569444444444404E-3</v>
      </c>
      <c r="K41" s="1">
        <f ca="1">IFERROR(__xludf.DUMMYFUNCTION("""COMPUTED_VALUE"""),39)</f>
        <v>39</v>
      </c>
      <c r="L41" s="1" t="str">
        <f ca="1">IFERROR(__xludf.DUMMYFUNCTION("""COMPUTED_VALUE"""),"Khara Edgar")</f>
        <v>Khara Edgar</v>
      </c>
      <c r="M41" s="1" t="str">
        <f ca="1">IFERROR(__xludf.DUMMYFUNCTION("""COMPUTED_VALUE"""),"FO")</f>
        <v>FO</v>
      </c>
      <c r="N41" s="1" t="str">
        <f ca="1">IFERROR(__xludf.DUMMYFUNCTION("""COMPUTED_VALUE"""),"Lagan Valley AC")</f>
        <v>Lagan Valley AC</v>
      </c>
      <c r="O41" s="3">
        <f ca="1">IFERROR(__xludf.DUMMYFUNCTION("""COMPUTED_VALUE"""),0.0152430555555555)</f>
        <v>1.5243055555555499E-2</v>
      </c>
      <c r="P41" s="1">
        <f ca="1">IFERROR(__xludf.DUMMYFUNCTION("""COMPUTED_VALUE"""),39)</f>
        <v>39</v>
      </c>
      <c r="Q41" s="1" t="str">
        <f ca="1">IFERROR(__xludf.DUMMYFUNCTION("""COMPUTED_VALUE"""),"Thea Cunningham")</f>
        <v>Thea Cunningham</v>
      </c>
      <c r="R41" s="1" t="str">
        <f ca="1">IFERROR(__xludf.DUMMYFUNCTION("""COMPUTED_VALUE"""),"U15G")</f>
        <v>U15G</v>
      </c>
      <c r="S41" s="1" t="str">
        <f ca="1">IFERROR(__xludf.DUMMYFUNCTION("""COMPUTED_VALUE"""),"City of Lisburn AC")</f>
        <v>City of Lisburn AC</v>
      </c>
      <c r="T41" s="3">
        <f ca="1">IFERROR(__xludf.DUMMYFUNCTION("""COMPUTED_VALUE"""),0.00924768518518518)</f>
        <v>9.24768518518518E-3</v>
      </c>
      <c r="U41" s="1">
        <f ca="1">IFERROR(__xludf.DUMMYFUNCTION("""COMPUTED_VALUE"""),39)</f>
        <v>39</v>
      </c>
      <c r="V41" s="1" t="str">
        <f ca="1">IFERROR(__xludf.DUMMYFUNCTION("""COMPUTED_VALUE"""),"Stephen Morris")</f>
        <v>Stephen Morris</v>
      </c>
      <c r="W41" s="1" t="str">
        <f ca="1">IFERROR(__xludf.DUMMYFUNCTION("""COMPUTED_VALUE"""),"M45")</f>
        <v>M45</v>
      </c>
      <c r="X41" s="1" t="str">
        <f ca="1">IFERROR(__xludf.DUMMYFUNCTION("""COMPUTED_VALUE"""),"Willowfield Harriers")</f>
        <v>Willowfield Harriers</v>
      </c>
      <c r="Y41" s="3">
        <f ca="1">IFERROR(__xludf.DUMMYFUNCTION("""COMPUTED_VALUE"""),0.0171412037037037)</f>
        <v>1.71412037037037E-2</v>
      </c>
      <c r="Z41" s="1"/>
      <c r="AA41" s="1"/>
      <c r="AB41" s="1"/>
      <c r="AC41" s="1"/>
      <c r="AD41" s="1" t="str">
        <f ca="1">IFERROR(__xludf.DUMMYFUNCTION("""COMPUTED_VALUE""")," ")</f>
        <v xml:space="preserve"> </v>
      </c>
      <c r="AE41" s="1" t="str">
        <f ca="1">IFERROR(__xludf.DUMMYFUNCTION("""COMPUTED_VALUE""")," ")</f>
        <v xml:space="preserve"> </v>
      </c>
      <c r="AF41" s="1" t="str">
        <f ca="1">IFERROR(__xludf.DUMMYFUNCTION("""COMPUTED_VALUE""")," ")</f>
        <v xml:space="preserve"> </v>
      </c>
      <c r="AG41" s="1" t="str">
        <f ca="1">IFERROR(__xludf.DUMMYFUNCTION("""COMPUTED_VALUE""")," ")</f>
        <v xml:space="preserve"> </v>
      </c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 t="str">
        <f ca="1">IFERROR(__xludf.DUMMYFUNCTION("""COMPUTED_VALUE""")," ")</f>
        <v xml:space="preserve"> </v>
      </c>
      <c r="AT41" s="1" t="str">
        <f ca="1">IFERROR(__xludf.DUMMYFUNCTION("""COMPUTED_VALUE""")," ")</f>
        <v xml:space="preserve"> </v>
      </c>
      <c r="AU41" s="1" t="str">
        <f ca="1">IFERROR(__xludf.DUMMYFUNCTION("""COMPUTED_VALUE""")," ")</f>
        <v xml:space="preserve"> </v>
      </c>
      <c r="AV41" s="1" t="str">
        <f ca="1">IFERROR(__xludf.DUMMYFUNCTION("""COMPUTED_VALUE""")," ")</f>
        <v xml:space="preserve"> </v>
      </c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</row>
    <row r="42" spans="1:62" x14ac:dyDescent="0.25">
      <c r="A42" s="1">
        <f ca="1">IFERROR(__xludf.DUMMYFUNCTION("""COMPUTED_VALUE"""),40)</f>
        <v>40</v>
      </c>
      <c r="B42" s="1" t="str">
        <f ca="1">IFERROR(__xludf.DUMMYFUNCTION("""COMPUTED_VALUE"""),"Pawel Lapinski")</f>
        <v>Pawel Lapinski</v>
      </c>
      <c r="C42" s="1" t="str">
        <f ca="1">IFERROR(__xludf.DUMMYFUNCTION("""COMPUTED_VALUE"""),"M35")</f>
        <v>M35</v>
      </c>
      <c r="D42" s="1" t="str">
        <f ca="1">IFERROR(__xludf.DUMMYFUNCTION("""COMPUTED_VALUE"""),"Ballymena Runners")</f>
        <v>Ballymena Runners</v>
      </c>
      <c r="E42" s="3">
        <f ca="1">IFERROR(__xludf.DUMMYFUNCTION("""COMPUTED_VALUE"""),0.0133680555555555)</f>
        <v>1.3368055555555499E-2</v>
      </c>
      <c r="F42" s="1">
        <f ca="1">IFERROR(__xludf.DUMMYFUNCTION("""COMPUTED_VALUE"""),40)</f>
        <v>40</v>
      </c>
      <c r="G42" s="1" t="str">
        <f ca="1">IFERROR(__xludf.DUMMYFUNCTION("""COMPUTED_VALUE"""),"Cormac Cox")</f>
        <v>Cormac Cox</v>
      </c>
      <c r="H42" s="1" t="str">
        <f ca="1">IFERROR(__xludf.DUMMYFUNCTION("""COMPUTED_VALUE"""),"U13B")</f>
        <v>U13B</v>
      </c>
      <c r="I42" s="1" t="str">
        <f ca="1">IFERROR(__xludf.DUMMYFUNCTION("""COMPUTED_VALUE"""),"St Michael's Enniskillen")</f>
        <v>St Michael's Enniskillen</v>
      </c>
      <c r="J42" s="3">
        <f ca="1">IFERROR(__xludf.DUMMYFUNCTION("""COMPUTED_VALUE"""),0.00475694444444444)</f>
        <v>4.7569444444444404E-3</v>
      </c>
      <c r="K42" s="1">
        <f ca="1">IFERROR(__xludf.DUMMYFUNCTION("""COMPUTED_VALUE"""),40)</f>
        <v>40</v>
      </c>
      <c r="L42" s="1" t="str">
        <f ca="1">IFERROR(__xludf.DUMMYFUNCTION("""COMPUTED_VALUE"""),"Valerie McDonough")</f>
        <v>Valerie McDonough</v>
      </c>
      <c r="M42" s="1" t="str">
        <f ca="1">IFERROR(__xludf.DUMMYFUNCTION("""COMPUTED_VALUE"""),"F50")</f>
        <v>F50</v>
      </c>
      <c r="N42" s="1" t="str">
        <f ca="1">IFERROR(__xludf.DUMMYFUNCTION("""COMPUTED_VALUE"""),"North Down AC")</f>
        <v>North Down AC</v>
      </c>
      <c r="O42" s="3">
        <f ca="1">IFERROR(__xludf.DUMMYFUNCTION("""COMPUTED_VALUE"""),0.0152893518518518)</f>
        <v>1.5289351851851801E-2</v>
      </c>
      <c r="P42" s="1">
        <f ca="1">IFERROR(__xludf.DUMMYFUNCTION("""COMPUTED_VALUE"""),40)</f>
        <v>40</v>
      </c>
      <c r="Q42" s="1" t="str">
        <f ca="1">IFERROR(__xludf.DUMMYFUNCTION("""COMPUTED_VALUE"""),"Cillian Whitford")</f>
        <v>Cillian Whitford</v>
      </c>
      <c r="R42" s="1" t="str">
        <f ca="1">IFERROR(__xludf.DUMMYFUNCTION("""COMPUTED_VALUE"""),"U17B")</f>
        <v>U17B</v>
      </c>
      <c r="S42" s="1" t="str">
        <f ca="1">IFERROR(__xludf.DUMMYFUNCTION("""COMPUTED_VALUE"""),"St Michael's Enniskillen")</f>
        <v>St Michael's Enniskillen</v>
      </c>
      <c r="T42" s="3">
        <f ca="1">IFERROR(__xludf.DUMMYFUNCTION("""COMPUTED_VALUE"""),0.00925925925925925)</f>
        <v>9.2592592592592501E-3</v>
      </c>
      <c r="U42" s="1">
        <f ca="1">IFERROR(__xludf.DUMMYFUNCTION("""COMPUTED_VALUE"""),40)</f>
        <v>40</v>
      </c>
      <c r="V42" s="1" t="str">
        <f ca="1">IFERROR(__xludf.DUMMYFUNCTION("""COMPUTED_VALUE"""),"Matthew Devlin")</f>
        <v>Matthew Devlin</v>
      </c>
      <c r="W42" s="1" t="str">
        <f ca="1">IFERROR(__xludf.DUMMYFUNCTION("""COMPUTED_VALUE"""),"MO")</f>
        <v>MO</v>
      </c>
      <c r="X42" s="1" t="str">
        <f ca="1">IFERROR(__xludf.DUMMYFUNCTION("""COMPUTED_VALUE"""),"Annadale Striders")</f>
        <v>Annadale Striders</v>
      </c>
      <c r="Y42" s="3">
        <f ca="1">IFERROR(__xludf.DUMMYFUNCTION("""COMPUTED_VALUE"""),0.0171412037037037)</f>
        <v>1.71412037037037E-2</v>
      </c>
      <c r="Z42" s="1"/>
      <c r="AA42" s="1"/>
      <c r="AB42" s="1"/>
      <c r="AC42" s="1"/>
      <c r="AD42" s="1" t="str">
        <f ca="1">IFERROR(__xludf.DUMMYFUNCTION("""COMPUTED_VALUE""")," ")</f>
        <v xml:space="preserve"> </v>
      </c>
      <c r="AE42" s="1" t="str">
        <f ca="1">IFERROR(__xludf.DUMMYFUNCTION("""COMPUTED_VALUE""")," ")</f>
        <v xml:space="preserve"> </v>
      </c>
      <c r="AF42" s="1" t="str">
        <f ca="1">IFERROR(__xludf.DUMMYFUNCTION("""COMPUTED_VALUE""")," ")</f>
        <v xml:space="preserve"> </v>
      </c>
      <c r="AG42" s="1" t="str">
        <f ca="1">IFERROR(__xludf.DUMMYFUNCTION("""COMPUTED_VALUE""")," ")</f>
        <v xml:space="preserve"> </v>
      </c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 t="str">
        <f ca="1">IFERROR(__xludf.DUMMYFUNCTION("""COMPUTED_VALUE""")," ")</f>
        <v xml:space="preserve"> </v>
      </c>
      <c r="AT42" s="1" t="str">
        <f ca="1">IFERROR(__xludf.DUMMYFUNCTION("""COMPUTED_VALUE""")," ")</f>
        <v xml:space="preserve"> </v>
      </c>
      <c r="AU42" s="1" t="str">
        <f ca="1">IFERROR(__xludf.DUMMYFUNCTION("""COMPUTED_VALUE""")," ")</f>
        <v xml:space="preserve"> </v>
      </c>
      <c r="AV42" s="1" t="str">
        <f ca="1">IFERROR(__xludf.DUMMYFUNCTION("""COMPUTED_VALUE""")," ")</f>
        <v xml:space="preserve"> </v>
      </c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</row>
    <row r="43" spans="1:62" x14ac:dyDescent="0.25">
      <c r="A43" s="1">
        <f ca="1">IFERROR(__xludf.DUMMYFUNCTION("""COMPUTED_VALUE"""),41)</f>
        <v>41</v>
      </c>
      <c r="B43" s="1" t="str">
        <f ca="1">IFERROR(__xludf.DUMMYFUNCTION("""COMPUTED_VALUE"""),"Laurence Johnston")</f>
        <v>Laurence Johnston</v>
      </c>
      <c r="C43" s="1" t="str">
        <f ca="1">IFERROR(__xludf.DUMMYFUNCTION("""COMPUTED_VALUE"""),"M60")</f>
        <v>M60</v>
      </c>
      <c r="D43" s="1" t="str">
        <f ca="1">IFERROR(__xludf.DUMMYFUNCTION("""COMPUTED_VALUE"""),"North Belfast Harriers")</f>
        <v>North Belfast Harriers</v>
      </c>
      <c r="E43" s="3">
        <f ca="1">IFERROR(__xludf.DUMMYFUNCTION("""COMPUTED_VALUE"""),0.0133912037037037)</f>
        <v>1.33912037037037E-2</v>
      </c>
      <c r="F43" s="1">
        <f ca="1">IFERROR(__xludf.DUMMYFUNCTION("""COMPUTED_VALUE"""),41)</f>
        <v>41</v>
      </c>
      <c r="G43" s="1" t="str">
        <f ca="1">IFERROR(__xludf.DUMMYFUNCTION("""COMPUTED_VALUE"""),"Matthew Fleming")</f>
        <v>Matthew Fleming</v>
      </c>
      <c r="H43" s="1" t="str">
        <f ca="1">IFERROR(__xludf.DUMMYFUNCTION("""COMPUTED_VALUE"""),"U13B")</f>
        <v>U13B</v>
      </c>
      <c r="I43" s="1" t="str">
        <f ca="1">IFERROR(__xludf.DUMMYFUNCTION("""COMPUTED_VALUE"""),"Willowfield Harriers")</f>
        <v>Willowfield Harriers</v>
      </c>
      <c r="J43" s="3">
        <f ca="1">IFERROR(__xludf.DUMMYFUNCTION("""COMPUTED_VALUE"""),0.00476851851851851)</f>
        <v>4.7685185185185096E-3</v>
      </c>
      <c r="K43" s="1">
        <f ca="1">IFERROR(__xludf.DUMMYFUNCTION("""COMPUTED_VALUE"""),41)</f>
        <v>41</v>
      </c>
      <c r="L43" s="1" t="str">
        <f ca="1">IFERROR(__xludf.DUMMYFUNCTION("""COMPUTED_VALUE"""),"Hayley McAteer")</f>
        <v>Hayley McAteer</v>
      </c>
      <c r="M43" s="1" t="str">
        <f ca="1">IFERROR(__xludf.DUMMYFUNCTION("""COMPUTED_VALUE"""),"FO")</f>
        <v>FO</v>
      </c>
      <c r="N43" s="1" t="str">
        <f ca="1">IFERROR(__xludf.DUMMYFUNCTION("""COMPUTED_VALUE"""),"Lagan Valley XC")</f>
        <v>Lagan Valley XC</v>
      </c>
      <c r="O43" s="3">
        <f ca="1">IFERROR(__xludf.DUMMYFUNCTION("""COMPUTED_VALUE"""),0.015324074074074)</f>
        <v>1.5324074074074E-2</v>
      </c>
      <c r="P43" s="1">
        <f ca="1">IFERROR(__xludf.DUMMYFUNCTION("""COMPUTED_VALUE"""),41)</f>
        <v>41</v>
      </c>
      <c r="Q43" s="1" t="str">
        <f ca="1">IFERROR(__xludf.DUMMYFUNCTION("""COMPUTED_VALUE"""),"Darcy Monaghan")</f>
        <v>Darcy Monaghan</v>
      </c>
      <c r="R43" s="1" t="str">
        <f ca="1">IFERROR(__xludf.DUMMYFUNCTION("""COMPUTED_VALUE"""),"U15G")</f>
        <v>U15G</v>
      </c>
      <c r="S43" s="1" t="str">
        <f ca="1">IFERROR(__xludf.DUMMYFUNCTION("""COMPUTED_VALUE"""),"Lagan Valley AC")</f>
        <v>Lagan Valley AC</v>
      </c>
      <c r="T43" s="3">
        <f ca="1">IFERROR(__xludf.DUMMYFUNCTION("""COMPUTED_VALUE"""),0.00940972222222222)</f>
        <v>9.4097222222222204E-3</v>
      </c>
      <c r="U43" s="1">
        <f ca="1">IFERROR(__xludf.DUMMYFUNCTION("""COMPUTED_VALUE"""),41)</f>
        <v>41</v>
      </c>
      <c r="V43" s="1" t="str">
        <f ca="1">IFERROR(__xludf.DUMMYFUNCTION("""COMPUTED_VALUE"""),"Steven Donegan")</f>
        <v>Steven Donegan</v>
      </c>
      <c r="W43" s="1" t="str">
        <f ca="1">IFERROR(__xludf.DUMMYFUNCTION("""COMPUTED_VALUE"""),"M35")</f>
        <v>M35</v>
      </c>
      <c r="X43" s="1" t="str">
        <f ca="1">IFERROR(__xludf.DUMMYFUNCTION("""COMPUTED_VALUE"""),"North Down AC")</f>
        <v>North Down AC</v>
      </c>
      <c r="Y43" s="3">
        <f ca="1">IFERROR(__xludf.DUMMYFUNCTION("""COMPUTED_VALUE"""),0.0171759259259259)</f>
        <v>1.71759259259259E-2</v>
      </c>
      <c r="Z43" s="1"/>
      <c r="AA43" s="1"/>
      <c r="AB43" s="1"/>
      <c r="AC43" s="1"/>
      <c r="AD43" s="1" t="str">
        <f ca="1">IFERROR(__xludf.DUMMYFUNCTION("""COMPUTED_VALUE""")," ")</f>
        <v xml:space="preserve"> </v>
      </c>
      <c r="AE43" s="1" t="str">
        <f ca="1">IFERROR(__xludf.DUMMYFUNCTION("""COMPUTED_VALUE""")," ")</f>
        <v xml:space="preserve"> </v>
      </c>
      <c r="AF43" s="1" t="str">
        <f ca="1">IFERROR(__xludf.DUMMYFUNCTION("""COMPUTED_VALUE""")," ")</f>
        <v xml:space="preserve"> </v>
      </c>
      <c r="AG43" s="1" t="str">
        <f ca="1">IFERROR(__xludf.DUMMYFUNCTION("""COMPUTED_VALUE""")," ")</f>
        <v xml:space="preserve"> </v>
      </c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</row>
    <row r="44" spans="1:62" x14ac:dyDescent="0.25">
      <c r="A44" s="1">
        <f ca="1">IFERROR(__xludf.DUMMYFUNCTION("""COMPUTED_VALUE"""),42)</f>
        <v>42</v>
      </c>
      <c r="B44" s="1" t="str">
        <f ca="1">IFERROR(__xludf.DUMMYFUNCTION("""COMPUTED_VALUE"""),"Jonathan Holmes")</f>
        <v>Jonathan Holmes</v>
      </c>
      <c r="C44" s="1" t="str">
        <f ca="1">IFERROR(__xludf.DUMMYFUNCTION("""COMPUTED_VALUE"""),"M35")</f>
        <v>M35</v>
      </c>
      <c r="D44" s="1" t="str">
        <f ca="1">IFERROR(__xludf.DUMMYFUNCTION("""COMPUTED_VALUE"""),"East Down AC")</f>
        <v>East Down AC</v>
      </c>
      <c r="E44" s="3">
        <f ca="1">IFERROR(__xludf.DUMMYFUNCTION("""COMPUTED_VALUE"""),0.0134375)</f>
        <v>1.34375E-2</v>
      </c>
      <c r="F44" s="1">
        <f ca="1">IFERROR(__xludf.DUMMYFUNCTION("""COMPUTED_VALUE"""),42)</f>
        <v>42</v>
      </c>
      <c r="G44" s="1" t="str">
        <f ca="1">IFERROR(__xludf.DUMMYFUNCTION("""COMPUTED_VALUE"""),"Ethan Lappin")</f>
        <v>Ethan Lappin</v>
      </c>
      <c r="H44" s="1" t="str">
        <f ca="1">IFERROR(__xludf.DUMMYFUNCTION("""COMPUTED_VALUE"""),"U13B")</f>
        <v>U13B</v>
      </c>
      <c r="I44" s="1" t="str">
        <f ca="1">IFERROR(__xludf.DUMMYFUNCTION("""COMPUTED_VALUE"""),"Scrabo Striders")</f>
        <v>Scrabo Striders</v>
      </c>
      <c r="J44" s="3">
        <f ca="1">IFERROR(__xludf.DUMMYFUNCTION("""COMPUTED_VALUE"""),0.00476851851851851)</f>
        <v>4.7685185185185096E-3</v>
      </c>
      <c r="K44" s="1">
        <f ca="1">IFERROR(__xludf.DUMMYFUNCTION("""COMPUTED_VALUE"""),42)</f>
        <v>42</v>
      </c>
      <c r="L44" s="1" t="str">
        <f ca="1">IFERROR(__xludf.DUMMYFUNCTION("""COMPUTED_VALUE"""),"Carol McAdam")</f>
        <v>Carol McAdam</v>
      </c>
      <c r="M44" s="1" t="str">
        <f ca="1">IFERROR(__xludf.DUMMYFUNCTION("""COMPUTED_VALUE"""),"F40")</f>
        <v>F40</v>
      </c>
      <c r="N44" s="1" t="str">
        <f ca="1">IFERROR(__xludf.DUMMYFUNCTION("""COMPUTED_VALUE"""),"Willowfield Harriers")</f>
        <v>Willowfield Harriers</v>
      </c>
      <c r="O44" s="3">
        <f ca="1">IFERROR(__xludf.DUMMYFUNCTION("""COMPUTED_VALUE"""),0.0154398148148148)</f>
        <v>1.54398148148148E-2</v>
      </c>
      <c r="P44" s="1">
        <f ca="1">IFERROR(__xludf.DUMMYFUNCTION("""COMPUTED_VALUE"""),42)</f>
        <v>42</v>
      </c>
      <c r="Q44" s="1" t="str">
        <f ca="1">IFERROR(__xludf.DUMMYFUNCTION("""COMPUTED_VALUE"""),"Lewis Maguire")</f>
        <v>Lewis Maguire</v>
      </c>
      <c r="R44" s="1" t="str">
        <f ca="1">IFERROR(__xludf.DUMMYFUNCTION("""COMPUTED_VALUE"""),"U15B")</f>
        <v>U15B</v>
      </c>
      <c r="S44" s="1" t="str">
        <f ca="1">IFERROR(__xludf.DUMMYFUNCTION("""COMPUTED_VALUE"""),"St Michael's Enniskillen")</f>
        <v>St Michael's Enniskillen</v>
      </c>
      <c r="T44" s="3">
        <f ca="1">IFERROR(__xludf.DUMMYFUNCTION("""COMPUTED_VALUE"""),0.00950231481481481)</f>
        <v>9.5023148148148107E-3</v>
      </c>
      <c r="U44" s="1">
        <f ca="1">IFERROR(__xludf.DUMMYFUNCTION("""COMPUTED_VALUE"""),42)</f>
        <v>42</v>
      </c>
      <c r="V44" s="1" t="str">
        <f ca="1">IFERROR(__xludf.DUMMYFUNCTION("""COMPUTED_VALUE"""),"Chris Moran")</f>
        <v>Chris Moran</v>
      </c>
      <c r="W44" s="1" t="str">
        <f ca="1">IFERROR(__xludf.DUMMYFUNCTION("""COMPUTED_VALUE"""),"M40")</f>
        <v>M40</v>
      </c>
      <c r="X44" s="1" t="str">
        <f ca="1">IFERROR(__xludf.DUMMYFUNCTION("""COMPUTED_VALUE"""),"North Down AC")</f>
        <v>North Down AC</v>
      </c>
      <c r="Y44" s="3">
        <f ca="1">IFERROR(__xludf.DUMMYFUNCTION("""COMPUTED_VALUE"""),0.0172337962962962)</f>
        <v>1.7233796296296199E-2</v>
      </c>
      <c r="Z44" s="1"/>
      <c r="AA44" s="1"/>
      <c r="AB44" s="1"/>
      <c r="AC44" s="1"/>
      <c r="AD44" s="1" t="str">
        <f ca="1">IFERROR(__xludf.DUMMYFUNCTION("""COMPUTED_VALUE""")," ")</f>
        <v xml:space="preserve"> </v>
      </c>
      <c r="AE44" s="1" t="str">
        <f ca="1">IFERROR(__xludf.DUMMYFUNCTION("""COMPUTED_VALUE""")," ")</f>
        <v xml:space="preserve"> </v>
      </c>
      <c r="AF44" s="1" t="str">
        <f ca="1">IFERROR(__xludf.DUMMYFUNCTION("""COMPUTED_VALUE""")," ")</f>
        <v xml:space="preserve"> </v>
      </c>
      <c r="AG44" s="1" t="str">
        <f ca="1">IFERROR(__xludf.DUMMYFUNCTION("""COMPUTED_VALUE""")," ")</f>
        <v xml:space="preserve"> </v>
      </c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</row>
    <row r="45" spans="1:62" x14ac:dyDescent="0.25">
      <c r="A45" s="1">
        <f ca="1">IFERROR(__xludf.DUMMYFUNCTION("""COMPUTED_VALUE"""),43)</f>
        <v>43</v>
      </c>
      <c r="B45" s="1" t="str">
        <f ca="1">IFERROR(__xludf.DUMMYFUNCTION("""COMPUTED_VALUE"""),"Patrick McAuley")</f>
        <v>Patrick McAuley</v>
      </c>
      <c r="C45" s="1" t="str">
        <f ca="1">IFERROR(__xludf.DUMMYFUNCTION("""COMPUTED_VALUE"""),"M40")</f>
        <v>M40</v>
      </c>
      <c r="D45" s="1" t="str">
        <f ca="1">IFERROR(__xludf.DUMMYFUNCTION("""COMPUTED_VALUE"""),"North Belfast Harriers")</f>
        <v>North Belfast Harriers</v>
      </c>
      <c r="E45" s="3">
        <f ca="1">IFERROR(__xludf.DUMMYFUNCTION("""COMPUTED_VALUE"""),0.0134953703703703)</f>
        <v>1.34953703703703E-2</v>
      </c>
      <c r="F45" s="1">
        <f ca="1">IFERROR(__xludf.DUMMYFUNCTION("""COMPUTED_VALUE"""),43)</f>
        <v>43</v>
      </c>
      <c r="G45" s="1" t="str">
        <f ca="1">IFERROR(__xludf.DUMMYFUNCTION("""COMPUTED_VALUE"""),"Erin Han")</f>
        <v>Erin Han</v>
      </c>
      <c r="H45" s="1" t="str">
        <f ca="1">IFERROR(__xludf.DUMMYFUNCTION("""COMPUTED_VALUE"""),"U13G")</f>
        <v>U13G</v>
      </c>
      <c r="I45" s="1" t="str">
        <f ca="1">IFERROR(__xludf.DUMMYFUNCTION("""COMPUTED_VALUE"""),"Loughview AC")</f>
        <v>Loughview AC</v>
      </c>
      <c r="J45" s="3">
        <f ca="1">IFERROR(__xludf.DUMMYFUNCTION("""COMPUTED_VALUE"""),0.00481481481481481)</f>
        <v>4.81481481481481E-3</v>
      </c>
      <c r="K45" s="1">
        <f ca="1">IFERROR(__xludf.DUMMYFUNCTION("""COMPUTED_VALUE"""),43)</f>
        <v>43</v>
      </c>
      <c r="L45" s="1" t="str">
        <f ca="1">IFERROR(__xludf.DUMMYFUNCTION("""COMPUTED_VALUE"""),"Kate Bradley")</f>
        <v>Kate Bradley</v>
      </c>
      <c r="M45" s="1" t="str">
        <f ca="1">IFERROR(__xludf.DUMMYFUNCTION("""COMPUTED_VALUE"""),"F35")</f>
        <v>F35</v>
      </c>
      <c r="N45" s="1" t="str">
        <f ca="1">IFERROR(__xludf.DUMMYFUNCTION("""COMPUTED_VALUE"""),"Lagen Valley AC")</f>
        <v>Lagen Valley AC</v>
      </c>
      <c r="O45" s="3">
        <f ca="1">IFERROR(__xludf.DUMMYFUNCTION("""COMPUTED_VALUE"""),0.0154976851851851)</f>
        <v>1.5497685185185101E-2</v>
      </c>
      <c r="P45" s="1">
        <f ca="1">IFERROR(__xludf.DUMMYFUNCTION("""COMPUTED_VALUE"""),43)</f>
        <v>43</v>
      </c>
      <c r="Q45" s="1" t="str">
        <f ca="1">IFERROR(__xludf.DUMMYFUNCTION("""COMPUTED_VALUE"""),"Mannix Moore")</f>
        <v>Mannix Moore</v>
      </c>
      <c r="R45" s="1" t="str">
        <f ca="1">IFERROR(__xludf.DUMMYFUNCTION("""COMPUTED_VALUE"""),"U15B")</f>
        <v>U15B</v>
      </c>
      <c r="S45" s="1" t="str">
        <f ca="1">IFERROR(__xludf.DUMMYFUNCTION("""COMPUTED_VALUE"""),"St Michael's Enniskillen")</f>
        <v>St Michael's Enniskillen</v>
      </c>
      <c r="T45" s="3">
        <f ca="1">IFERROR(__xludf.DUMMYFUNCTION("""COMPUTED_VALUE"""),0.00951388888888889)</f>
        <v>9.5138888888888894E-3</v>
      </c>
      <c r="U45" s="1">
        <f ca="1">IFERROR(__xludf.DUMMYFUNCTION("""COMPUTED_VALUE"""),43)</f>
        <v>43</v>
      </c>
      <c r="V45" s="1" t="str">
        <f ca="1">IFERROR(__xludf.DUMMYFUNCTION("""COMPUTED_VALUE"""),"Chris Drysdale")</f>
        <v>Chris Drysdale</v>
      </c>
      <c r="W45" s="1" t="str">
        <f ca="1">IFERROR(__xludf.DUMMYFUNCTION("""COMPUTED_VALUE"""),"MO")</f>
        <v>MO</v>
      </c>
      <c r="X45" s="1" t="str">
        <f ca="1">IFERROR(__xludf.DUMMYFUNCTION("""COMPUTED_VALUE"""),"Ballydrain Harriers")</f>
        <v>Ballydrain Harriers</v>
      </c>
      <c r="Y45" s="3">
        <f ca="1">IFERROR(__xludf.DUMMYFUNCTION("""COMPUTED_VALUE"""),0.0173148148148148)</f>
        <v>1.73148148148148E-2</v>
      </c>
      <c r="Z45" s="1"/>
      <c r="AA45" s="1"/>
      <c r="AB45" s="1"/>
      <c r="AC45" s="1"/>
      <c r="AD45" s="1" t="str">
        <f ca="1">IFERROR(__xludf.DUMMYFUNCTION("""COMPUTED_VALUE""")," ")</f>
        <v xml:space="preserve"> </v>
      </c>
      <c r="AE45" s="1" t="str">
        <f ca="1">IFERROR(__xludf.DUMMYFUNCTION("""COMPUTED_VALUE""")," ")</f>
        <v xml:space="preserve"> </v>
      </c>
      <c r="AF45" s="1" t="str">
        <f ca="1">IFERROR(__xludf.DUMMYFUNCTION("""COMPUTED_VALUE""")," ")</f>
        <v xml:space="preserve"> </v>
      </c>
      <c r="AG45" s="1" t="str">
        <f ca="1">IFERROR(__xludf.DUMMYFUNCTION("""COMPUTED_VALUE""")," ")</f>
        <v xml:space="preserve"> </v>
      </c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 t="str">
        <f ca="1">IFERROR(__xludf.DUMMYFUNCTION("""COMPUTED_VALUE"""),"U17G Finishers")</f>
        <v>U17G Finishers</v>
      </c>
      <c r="AU45" s="1">
        <f ca="1">IFERROR(__xludf.DUMMYFUNCTION("""COMPUTED_VALUE"""),7)</f>
        <v>7</v>
      </c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</row>
    <row r="46" spans="1:62" x14ac:dyDescent="0.25">
      <c r="A46" s="1">
        <f ca="1">IFERROR(__xludf.DUMMYFUNCTION("""COMPUTED_VALUE"""),44)</f>
        <v>44</v>
      </c>
      <c r="B46" s="1" t="str">
        <f ca="1">IFERROR(__xludf.DUMMYFUNCTION("""COMPUTED_VALUE"""),"Paul Smith")</f>
        <v>Paul Smith</v>
      </c>
      <c r="C46" s="1" t="str">
        <f ca="1">IFERROR(__xludf.DUMMYFUNCTION("""COMPUTED_VALUE"""),"M55")</f>
        <v>M55</v>
      </c>
      <c r="D46" s="1" t="str">
        <f ca="1">IFERROR(__xludf.DUMMYFUNCTION("""COMPUTED_VALUE"""),"Road Runners Club")</f>
        <v>Road Runners Club</v>
      </c>
      <c r="E46" s="3">
        <f ca="1">IFERROR(__xludf.DUMMYFUNCTION("""COMPUTED_VALUE"""),0.0135300925925925)</f>
        <v>1.35300925925925E-2</v>
      </c>
      <c r="F46" s="1">
        <f ca="1">IFERROR(__xludf.DUMMYFUNCTION("""COMPUTED_VALUE"""),44)</f>
        <v>44</v>
      </c>
      <c r="G46" s="1" t="str">
        <f ca="1">IFERROR(__xludf.DUMMYFUNCTION("""COMPUTED_VALUE"""),"Mollie Sherrard")</f>
        <v>Mollie Sherrard</v>
      </c>
      <c r="H46" s="1" t="str">
        <f ca="1">IFERROR(__xludf.DUMMYFUNCTION("""COMPUTED_VALUE"""),"U13G")</f>
        <v>U13G</v>
      </c>
      <c r="I46" s="1" t="str">
        <f ca="1">IFERROR(__xludf.DUMMYFUNCTION("""COMPUTED_VALUE"""),"Lagan Valley AC")</f>
        <v>Lagan Valley AC</v>
      </c>
      <c r="J46" s="3">
        <f ca="1">IFERROR(__xludf.DUMMYFUNCTION("""COMPUTED_VALUE"""),0.00482638888888888)</f>
        <v>4.8263888888888801E-3</v>
      </c>
      <c r="K46" s="1">
        <f ca="1">IFERROR(__xludf.DUMMYFUNCTION("""COMPUTED_VALUE"""),44)</f>
        <v>44</v>
      </c>
      <c r="L46" s="1" t="str">
        <f ca="1">IFERROR(__xludf.DUMMYFUNCTION("""COMPUTED_VALUE"""),"Julie Wilson")</f>
        <v>Julie Wilson</v>
      </c>
      <c r="M46" s="1" t="str">
        <f ca="1">IFERROR(__xludf.DUMMYFUNCTION("""COMPUTED_VALUE"""),"F45")</f>
        <v>F45</v>
      </c>
      <c r="N46" s="1" t="str">
        <f ca="1">IFERROR(__xludf.DUMMYFUNCTION("""COMPUTED_VALUE"""),"North Down AC")</f>
        <v>North Down AC</v>
      </c>
      <c r="O46" s="3">
        <f ca="1">IFERROR(__xludf.DUMMYFUNCTION("""COMPUTED_VALUE"""),0.0154976851851851)</f>
        <v>1.5497685185185101E-2</v>
      </c>
      <c r="P46" s="1">
        <f ca="1">IFERROR(__xludf.DUMMYFUNCTION("""COMPUTED_VALUE"""),44)</f>
        <v>44</v>
      </c>
      <c r="Q46" s="1" t="str">
        <f ca="1">IFERROR(__xludf.DUMMYFUNCTION("""COMPUTED_VALUE"""),"Ronan Gilbride")</f>
        <v>Ronan Gilbride</v>
      </c>
      <c r="R46" s="1" t="str">
        <f ca="1">IFERROR(__xludf.DUMMYFUNCTION("""COMPUTED_VALUE"""),"U15B")</f>
        <v>U15B</v>
      </c>
      <c r="S46" s="1" t="str">
        <f ca="1">IFERROR(__xludf.DUMMYFUNCTION("""COMPUTED_VALUE"""),"St Michael's Enniskillen")</f>
        <v>St Michael's Enniskillen</v>
      </c>
      <c r="T46" s="3">
        <f ca="1">IFERROR(__xludf.DUMMYFUNCTION("""COMPUTED_VALUE"""),0.00952546296296296)</f>
        <v>9.5254629629629595E-3</v>
      </c>
      <c r="U46" s="1">
        <f ca="1">IFERROR(__xludf.DUMMYFUNCTION("""COMPUTED_VALUE"""),44)</f>
        <v>44</v>
      </c>
      <c r="V46" s="1" t="str">
        <f ca="1">IFERROR(__xludf.DUMMYFUNCTION("""COMPUTED_VALUE"""),"Stephen Lunn")</f>
        <v>Stephen Lunn</v>
      </c>
      <c r="W46" s="1" t="str">
        <f ca="1">IFERROR(__xludf.DUMMYFUNCTION("""COMPUTED_VALUE"""),"MJ")</f>
        <v>MJ</v>
      </c>
      <c r="X46" s="1" t="str">
        <f ca="1">IFERROR(__xludf.DUMMYFUNCTION("""COMPUTED_VALUE"""),"Queen's University")</f>
        <v>Queen's University</v>
      </c>
      <c r="Y46" s="3">
        <f ca="1">IFERROR(__xludf.DUMMYFUNCTION("""COMPUTED_VALUE"""),0.017349537037037)</f>
        <v>1.7349537037037E-2</v>
      </c>
      <c r="Z46" s="1"/>
      <c r="AA46" s="1"/>
      <c r="AB46" s="1"/>
      <c r="AC46" s="1"/>
      <c r="AD46" s="1" t="str">
        <f ca="1">IFERROR(__xludf.DUMMYFUNCTION("""COMPUTED_VALUE""")," ")</f>
        <v xml:space="preserve"> </v>
      </c>
      <c r="AE46" s="1" t="str">
        <f ca="1">IFERROR(__xludf.DUMMYFUNCTION("""COMPUTED_VALUE""")," ")</f>
        <v xml:space="preserve"> </v>
      </c>
      <c r="AF46" s="1" t="str">
        <f ca="1">IFERROR(__xludf.DUMMYFUNCTION("""COMPUTED_VALUE""")," ")</f>
        <v xml:space="preserve"> </v>
      </c>
      <c r="AG46" s="1" t="str">
        <f ca="1">IFERROR(__xludf.DUMMYFUNCTION("""COMPUTED_VALUE""")," ")</f>
        <v xml:space="preserve"> </v>
      </c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</row>
    <row r="47" spans="1:62" x14ac:dyDescent="0.25">
      <c r="A47" s="1">
        <f ca="1">IFERROR(__xludf.DUMMYFUNCTION("""COMPUTED_VALUE"""),45)</f>
        <v>45</v>
      </c>
      <c r="B47" s="1" t="str">
        <f ca="1">IFERROR(__xludf.DUMMYFUNCTION("""COMPUTED_VALUE"""),"Andrew Willis")</f>
        <v>Andrew Willis</v>
      </c>
      <c r="C47" s="1" t="str">
        <f ca="1">IFERROR(__xludf.DUMMYFUNCTION("""COMPUTED_VALUE"""),"M45")</f>
        <v>M45</v>
      </c>
      <c r="D47" s="1" t="str">
        <f ca="1">IFERROR(__xludf.DUMMYFUNCTION("""COMPUTED_VALUE"""),"Jog Lisburn Running Club")</f>
        <v>Jog Lisburn Running Club</v>
      </c>
      <c r="E47" s="3">
        <f ca="1">IFERROR(__xludf.DUMMYFUNCTION("""COMPUTED_VALUE"""),0.0135648148148148)</f>
        <v>1.35648148148148E-2</v>
      </c>
      <c r="F47" s="1">
        <f ca="1">IFERROR(__xludf.DUMMYFUNCTION("""COMPUTED_VALUE"""),45)</f>
        <v>45</v>
      </c>
      <c r="G47" s="1" t="str">
        <f ca="1">IFERROR(__xludf.DUMMYFUNCTION("""COMPUTED_VALUE"""),"Cliona McGinley")</f>
        <v>Cliona McGinley</v>
      </c>
      <c r="H47" s="1" t="str">
        <f ca="1">IFERROR(__xludf.DUMMYFUNCTION("""COMPUTED_VALUE"""),"U13G")</f>
        <v>U13G</v>
      </c>
      <c r="I47" s="1" t="str">
        <f ca="1">IFERROR(__xludf.DUMMYFUNCTION("""COMPUTED_VALUE"""),"North Belfast Harriers")</f>
        <v>North Belfast Harriers</v>
      </c>
      <c r="J47" s="3">
        <f ca="1">IFERROR(__xludf.DUMMYFUNCTION("""COMPUTED_VALUE"""),0.00484953703703703)</f>
        <v>4.8495370370370298E-3</v>
      </c>
      <c r="K47" s="1">
        <f ca="1">IFERROR(__xludf.DUMMYFUNCTION("""COMPUTED_VALUE"""),45)</f>
        <v>45</v>
      </c>
      <c r="L47" s="1" t="str">
        <f ca="1">IFERROR(__xludf.DUMMYFUNCTION("""COMPUTED_VALUE"""),"Naomi Hutchinson")</f>
        <v>Naomi Hutchinson</v>
      </c>
      <c r="M47" s="1" t="str">
        <f ca="1">IFERROR(__xludf.DUMMYFUNCTION("""COMPUTED_VALUE"""),"F35")</f>
        <v>F35</v>
      </c>
      <c r="N47" s="1" t="str">
        <f ca="1">IFERROR(__xludf.DUMMYFUNCTION("""COMPUTED_VALUE"""),"Ballymena Runners")</f>
        <v>Ballymena Runners</v>
      </c>
      <c r="O47" s="3">
        <f ca="1">IFERROR(__xludf.DUMMYFUNCTION("""COMPUTED_VALUE"""),0.0155208333333333)</f>
        <v>1.55208333333333E-2</v>
      </c>
      <c r="P47" s="1">
        <f ca="1">IFERROR(__xludf.DUMMYFUNCTION("""COMPUTED_VALUE"""),45)</f>
        <v>45</v>
      </c>
      <c r="Q47" s="1" t="str">
        <f ca="1">IFERROR(__xludf.DUMMYFUNCTION("""COMPUTED_VALUE"""),"Lorcan Hanna")</f>
        <v>Lorcan Hanna</v>
      </c>
      <c r="R47" s="1" t="str">
        <f ca="1">IFERROR(__xludf.DUMMYFUNCTION("""COMPUTED_VALUE"""),"U15B")</f>
        <v>U15B</v>
      </c>
      <c r="S47" s="1" t="str">
        <f ca="1">IFERROR(__xludf.DUMMYFUNCTION("""COMPUTED_VALUE"""),"St Michael's Enniskillen")</f>
        <v>St Michael's Enniskillen</v>
      </c>
      <c r="T47" s="3">
        <f ca="1">IFERROR(__xludf.DUMMYFUNCTION("""COMPUTED_VALUE"""),0.00957175925925925)</f>
        <v>9.5717592592592503E-3</v>
      </c>
      <c r="U47" s="1">
        <f ca="1">IFERROR(__xludf.DUMMYFUNCTION("""COMPUTED_VALUE"""),45)</f>
        <v>45</v>
      </c>
      <c r="V47" s="1" t="str">
        <f ca="1">IFERROR(__xludf.DUMMYFUNCTION("""COMPUTED_VALUE"""),"Paul Flynn")</f>
        <v>Paul Flynn</v>
      </c>
      <c r="W47" s="1" t="str">
        <f ca="1">IFERROR(__xludf.DUMMYFUNCTION("""COMPUTED_VALUE"""),"M35")</f>
        <v>M35</v>
      </c>
      <c r="X47" s="1" t="str">
        <f ca="1">IFERROR(__xludf.DUMMYFUNCTION("""COMPUTED_VALUE"""),"Ballydrain Harriers")</f>
        <v>Ballydrain Harriers</v>
      </c>
      <c r="Y47" s="3">
        <f ca="1">IFERROR(__xludf.DUMMYFUNCTION("""COMPUTED_VALUE"""),0.0173842592592592)</f>
        <v>1.73842592592592E-2</v>
      </c>
      <c r="Z47" s="1"/>
      <c r="AA47" s="1"/>
      <c r="AB47" s="1"/>
      <c r="AC47" s="1"/>
      <c r="AD47" s="1" t="str">
        <f ca="1">IFERROR(__xludf.DUMMYFUNCTION("""COMPUTED_VALUE""")," ")</f>
        <v xml:space="preserve"> </v>
      </c>
      <c r="AE47" s="1" t="str">
        <f ca="1">IFERROR(__xludf.DUMMYFUNCTION("""COMPUTED_VALUE""")," ")</f>
        <v xml:space="preserve"> </v>
      </c>
      <c r="AF47" s="1" t="str">
        <f ca="1">IFERROR(__xludf.DUMMYFUNCTION("""COMPUTED_VALUE""")," ")</f>
        <v xml:space="preserve"> </v>
      </c>
      <c r="AG47" s="1" t="str">
        <f ca="1">IFERROR(__xludf.DUMMYFUNCTION("""COMPUTED_VALUE""")," ")</f>
        <v xml:space="preserve"> </v>
      </c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</row>
    <row r="48" spans="1:62" x14ac:dyDescent="0.25">
      <c r="A48" s="1">
        <f ca="1">IFERROR(__xludf.DUMMYFUNCTION("""COMPUTED_VALUE"""),46)</f>
        <v>46</v>
      </c>
      <c r="B48" s="1" t="str">
        <f ca="1">IFERROR(__xludf.DUMMYFUNCTION("""COMPUTED_VALUE"""),"Marc Wilson")</f>
        <v>Marc Wilson</v>
      </c>
      <c r="C48" s="1" t="str">
        <f ca="1">IFERROR(__xludf.DUMMYFUNCTION("""COMPUTED_VALUE"""),"M40")</f>
        <v>M40</v>
      </c>
      <c r="D48" s="1" t="str">
        <f ca="1">IFERROR(__xludf.DUMMYFUNCTION("""COMPUTED_VALUE"""),"North Down AC")</f>
        <v>North Down AC</v>
      </c>
      <c r="E48" s="3">
        <f ca="1">IFERROR(__xludf.DUMMYFUNCTION("""COMPUTED_VALUE"""),0.013599537037037)</f>
        <v>1.3599537037037E-2</v>
      </c>
      <c r="F48" s="1">
        <f ca="1">IFERROR(__xludf.DUMMYFUNCTION("""COMPUTED_VALUE"""),46)</f>
        <v>46</v>
      </c>
      <c r="G48" s="1" t="str">
        <f ca="1">IFERROR(__xludf.DUMMYFUNCTION("""COMPUTED_VALUE"""),"Emily Murphy")</f>
        <v>Emily Murphy</v>
      </c>
      <c r="H48" s="1" t="str">
        <f ca="1">IFERROR(__xludf.DUMMYFUNCTION("""COMPUTED_VALUE"""),"U13G")</f>
        <v>U13G</v>
      </c>
      <c r="I48" s="1" t="str">
        <f ca="1">IFERROR(__xludf.DUMMYFUNCTION("""COMPUTED_VALUE"""),"Mallusk Harriers")</f>
        <v>Mallusk Harriers</v>
      </c>
      <c r="J48" s="3">
        <f ca="1">IFERROR(__xludf.DUMMYFUNCTION("""COMPUTED_VALUE"""),0.00502314814814814)</f>
        <v>5.0231481481481403E-3</v>
      </c>
      <c r="K48" s="1">
        <f ca="1">IFERROR(__xludf.DUMMYFUNCTION("""COMPUTED_VALUE"""),46)</f>
        <v>46</v>
      </c>
      <c r="L48" s="1" t="str">
        <f ca="1">IFERROR(__xludf.DUMMYFUNCTION("""COMPUTED_VALUE"""),"Hazel McLoughlin")</f>
        <v>Hazel McLoughlin</v>
      </c>
      <c r="M48" s="1" t="str">
        <f ca="1">IFERROR(__xludf.DUMMYFUNCTION("""COMPUTED_VALUE"""),"F45")</f>
        <v>F45</v>
      </c>
      <c r="N48" s="1" t="str">
        <f ca="1">IFERROR(__xludf.DUMMYFUNCTION("""COMPUTED_VALUE"""),"Lagan Valley AC")</f>
        <v>Lagan Valley AC</v>
      </c>
      <c r="O48" s="3">
        <f ca="1">IFERROR(__xludf.DUMMYFUNCTION("""COMPUTED_VALUE"""),0.0157060185185185)</f>
        <v>1.5706018518518501E-2</v>
      </c>
      <c r="P48" s="1">
        <f ca="1">IFERROR(__xludf.DUMMYFUNCTION("""COMPUTED_VALUE"""),46)</f>
        <v>46</v>
      </c>
      <c r="Q48" s="1" t="str">
        <f ca="1">IFERROR(__xludf.DUMMYFUNCTION("""COMPUTED_VALUE"""),"Katie McCleery")</f>
        <v>Katie McCleery</v>
      </c>
      <c r="R48" s="1" t="str">
        <f ca="1">IFERROR(__xludf.DUMMYFUNCTION("""COMPUTED_VALUE"""),"U17G")</f>
        <v>U17G</v>
      </c>
      <c r="S48" s="1" t="str">
        <f ca="1">IFERROR(__xludf.DUMMYFUNCTION("""COMPUTED_VALUE"""),"City of Lisburn AC")</f>
        <v>City of Lisburn AC</v>
      </c>
      <c r="T48" s="3">
        <f ca="1">IFERROR(__xludf.DUMMYFUNCTION("""COMPUTED_VALUE"""),0.0095949074074074)</f>
        <v>9.5949074074073992E-3</v>
      </c>
      <c r="U48" s="1">
        <f ca="1">IFERROR(__xludf.DUMMYFUNCTION("""COMPUTED_VALUE"""),46)</f>
        <v>46</v>
      </c>
      <c r="V48" s="1" t="str">
        <f ca="1">IFERROR(__xludf.DUMMYFUNCTION("""COMPUTED_VALUE"""),"Neill Weir")</f>
        <v>Neill Weir</v>
      </c>
      <c r="W48" s="1" t="str">
        <f ca="1">IFERROR(__xludf.DUMMYFUNCTION("""COMPUTED_VALUE"""),"M40")</f>
        <v>M40</v>
      </c>
      <c r="X48" s="1" t="str">
        <f ca="1">IFERROR(__xludf.DUMMYFUNCTION("""COMPUTED_VALUE"""),"Willowfield Harriers")</f>
        <v>Willowfield Harriers</v>
      </c>
      <c r="Y48" s="3">
        <f ca="1">IFERROR(__xludf.DUMMYFUNCTION("""COMPUTED_VALUE"""),0.0173842592592592)</f>
        <v>1.73842592592592E-2</v>
      </c>
      <c r="Z48" s="1"/>
      <c r="AA48" s="1"/>
      <c r="AB48" s="1"/>
      <c r="AC48" s="1"/>
      <c r="AD48" s="1" t="str">
        <f ca="1">IFERROR(__xludf.DUMMYFUNCTION("""COMPUTED_VALUE""")," ")</f>
        <v xml:space="preserve"> </v>
      </c>
      <c r="AE48" s="1" t="str">
        <f ca="1">IFERROR(__xludf.DUMMYFUNCTION("""COMPUTED_VALUE""")," ")</f>
        <v xml:space="preserve"> </v>
      </c>
      <c r="AF48" s="1" t="str">
        <f ca="1">IFERROR(__xludf.DUMMYFUNCTION("""COMPUTED_VALUE""")," ")</f>
        <v xml:space="preserve"> </v>
      </c>
      <c r="AG48" s="1" t="str">
        <f ca="1">IFERROR(__xludf.DUMMYFUNCTION("""COMPUTED_VALUE""")," ")</f>
        <v xml:space="preserve"> </v>
      </c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</row>
    <row r="49" spans="1:62" x14ac:dyDescent="0.25">
      <c r="A49" s="1">
        <f ca="1">IFERROR(__xludf.DUMMYFUNCTION("""COMPUTED_VALUE"""),47)</f>
        <v>47</v>
      </c>
      <c r="B49" s="1" t="str">
        <f ca="1">IFERROR(__xludf.DUMMYFUNCTION("""COMPUTED_VALUE"""),"Norman Mawhinney")</f>
        <v>Norman Mawhinney</v>
      </c>
      <c r="C49" s="1" t="str">
        <f ca="1">IFERROR(__xludf.DUMMYFUNCTION("""COMPUTED_VALUE"""),"M60")</f>
        <v>M60</v>
      </c>
      <c r="D49" s="1" t="str">
        <f ca="1">IFERROR(__xludf.DUMMYFUNCTION("""COMPUTED_VALUE"""),"Scrabo Striders")</f>
        <v>Scrabo Striders</v>
      </c>
      <c r="E49" s="3">
        <f ca="1">IFERROR(__xludf.DUMMYFUNCTION("""COMPUTED_VALUE"""),0.0137152777777777)</f>
        <v>1.37152777777777E-2</v>
      </c>
      <c r="F49" s="1">
        <f ca="1">IFERROR(__xludf.DUMMYFUNCTION("""COMPUTED_VALUE"""),47)</f>
        <v>47</v>
      </c>
      <c r="G49" s="1" t="str">
        <f ca="1">IFERROR(__xludf.DUMMYFUNCTION("""COMPUTED_VALUE"""),"Ben McAleer")</f>
        <v>Ben McAleer</v>
      </c>
      <c r="H49" s="1" t="str">
        <f ca="1">IFERROR(__xludf.DUMMYFUNCTION("""COMPUTED_VALUE"""),"U13B")</f>
        <v>U13B</v>
      </c>
      <c r="I49" s="1" t="str">
        <f ca="1">IFERROR(__xludf.DUMMYFUNCTION("""COMPUTED_VALUE"""),"Ballymena and Antrim AC")</f>
        <v>Ballymena and Antrim AC</v>
      </c>
      <c r="J49" s="3">
        <f ca="1">IFERROR(__xludf.DUMMYFUNCTION("""COMPUTED_VALUE"""),0.00502314814814814)</f>
        <v>5.0231481481481403E-3</v>
      </c>
      <c r="K49" s="1">
        <f ca="1">IFERROR(__xludf.DUMMYFUNCTION("""COMPUTED_VALUE"""),47)</f>
        <v>47</v>
      </c>
      <c r="L49" s="1" t="str">
        <f ca="1">IFERROR(__xludf.DUMMYFUNCTION("""COMPUTED_VALUE"""),"Claire Scott")</f>
        <v>Claire Scott</v>
      </c>
      <c r="M49" s="1" t="str">
        <f ca="1">IFERROR(__xludf.DUMMYFUNCTION("""COMPUTED_VALUE"""),"F45")</f>
        <v>F45</v>
      </c>
      <c r="N49" s="1" t="str">
        <f ca="1">IFERROR(__xludf.DUMMYFUNCTION("""COMPUTED_VALUE"""),"North Down AC")</f>
        <v>North Down AC</v>
      </c>
      <c r="O49" s="3">
        <f ca="1">IFERROR(__xludf.DUMMYFUNCTION("""COMPUTED_VALUE"""),0.0157060185185185)</f>
        <v>1.5706018518518501E-2</v>
      </c>
      <c r="P49" s="1">
        <f ca="1">IFERROR(__xludf.DUMMYFUNCTION("""COMPUTED_VALUE"""),47)</f>
        <v>47</v>
      </c>
      <c r="Q49" s="1" t="str">
        <f ca="1">IFERROR(__xludf.DUMMYFUNCTION("""COMPUTED_VALUE"""),"Lauren Taylor")</f>
        <v>Lauren Taylor</v>
      </c>
      <c r="R49" s="1" t="str">
        <f ca="1">IFERROR(__xludf.DUMMYFUNCTION("""COMPUTED_VALUE"""),"U17G")</f>
        <v>U17G</v>
      </c>
      <c r="S49" s="1" t="str">
        <f ca="1">IFERROR(__xludf.DUMMYFUNCTION("""COMPUTED_VALUE"""),"Loughview AC")</f>
        <v>Loughview AC</v>
      </c>
      <c r="T49" s="3">
        <f ca="1">IFERROR(__xludf.DUMMYFUNCTION("""COMPUTED_VALUE"""),0.00962962962962963)</f>
        <v>9.6296296296296303E-3</v>
      </c>
      <c r="U49" s="1">
        <f ca="1">IFERROR(__xludf.DUMMYFUNCTION("""COMPUTED_VALUE"""),47)</f>
        <v>47</v>
      </c>
      <c r="V49" s="1" t="str">
        <f ca="1">IFERROR(__xludf.DUMMYFUNCTION("""COMPUTED_VALUE"""),"Stuart Wilson")</f>
        <v>Stuart Wilson</v>
      </c>
      <c r="W49" s="1" t="str">
        <f ca="1">IFERROR(__xludf.DUMMYFUNCTION("""COMPUTED_VALUE"""),"M35")</f>
        <v>M35</v>
      </c>
      <c r="X49" s="1" t="str">
        <f ca="1">IFERROR(__xludf.DUMMYFUNCTION("""COMPUTED_VALUE"""),"Victoria Park &amp; Connswater AC")</f>
        <v>Victoria Park &amp; Connswater AC</v>
      </c>
      <c r="Y49" s="3">
        <f ca="1">IFERROR(__xludf.DUMMYFUNCTION("""COMPUTED_VALUE"""),0.0173958333333333)</f>
        <v>1.7395833333333301E-2</v>
      </c>
      <c r="Z49" s="1"/>
      <c r="AA49" s="1"/>
      <c r="AB49" s="1"/>
      <c r="AC49" s="1"/>
      <c r="AD49" s="1" t="str">
        <f ca="1">IFERROR(__xludf.DUMMYFUNCTION("""COMPUTED_VALUE""")," ")</f>
        <v xml:space="preserve"> </v>
      </c>
      <c r="AE49" s="1" t="str">
        <f ca="1">IFERROR(__xludf.DUMMYFUNCTION("""COMPUTED_VALUE""")," ")</f>
        <v xml:space="preserve"> </v>
      </c>
      <c r="AF49" s="1" t="str">
        <f ca="1">IFERROR(__xludf.DUMMYFUNCTION("""COMPUTED_VALUE""")," ")</f>
        <v xml:space="preserve"> </v>
      </c>
      <c r="AG49" s="1" t="str">
        <f ca="1">IFERROR(__xludf.DUMMYFUNCTION("""COMPUTED_VALUE""")," ")</f>
        <v xml:space="preserve"> </v>
      </c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</row>
    <row r="50" spans="1:62" x14ac:dyDescent="0.25">
      <c r="A50" s="1">
        <f ca="1">IFERROR(__xludf.DUMMYFUNCTION("""COMPUTED_VALUE"""),48)</f>
        <v>48</v>
      </c>
      <c r="B50" s="1" t="str">
        <f ca="1">IFERROR(__xludf.DUMMYFUNCTION("""COMPUTED_VALUE"""),"Mark Shields")</f>
        <v>Mark Shields</v>
      </c>
      <c r="C50" s="1" t="str">
        <f ca="1">IFERROR(__xludf.DUMMYFUNCTION("""COMPUTED_VALUE"""),"M55")</f>
        <v>M55</v>
      </c>
      <c r="D50" s="1" t="str">
        <f ca="1">IFERROR(__xludf.DUMMYFUNCTION("""COMPUTED_VALUE"""),"Belfast Running Club")</f>
        <v>Belfast Running Club</v>
      </c>
      <c r="E50" s="3">
        <f ca="1">IFERROR(__xludf.DUMMYFUNCTION("""COMPUTED_VALUE"""),0.01375)</f>
        <v>1.375E-2</v>
      </c>
      <c r="F50" s="1">
        <f ca="1">IFERROR(__xludf.DUMMYFUNCTION("""COMPUTED_VALUE"""),48)</f>
        <v>48</v>
      </c>
      <c r="G50" s="1" t="str">
        <f ca="1">IFERROR(__xludf.DUMMYFUNCTION("""COMPUTED_VALUE"""),"Matthew McKernan")</f>
        <v>Matthew McKernan</v>
      </c>
      <c r="H50" s="1" t="str">
        <f ca="1">IFERROR(__xludf.DUMMYFUNCTION("""COMPUTED_VALUE"""),"U13B")</f>
        <v>U13B</v>
      </c>
      <c r="I50" s="1" t="str">
        <f ca="1">IFERROR(__xludf.DUMMYFUNCTION("""COMPUTED_VALUE"""),"Dromore AC")</f>
        <v>Dromore AC</v>
      </c>
      <c r="J50" s="3">
        <f ca="1">IFERROR(__xludf.DUMMYFUNCTION("""COMPUTED_VALUE"""),0.00503472222222222)</f>
        <v>5.0347222222222199E-3</v>
      </c>
      <c r="K50" s="1">
        <f ca="1">IFERROR(__xludf.DUMMYFUNCTION("""COMPUTED_VALUE"""),48)</f>
        <v>48</v>
      </c>
      <c r="L50" s="1" t="str">
        <f ca="1">IFERROR(__xludf.DUMMYFUNCTION("""COMPUTED_VALUE"""),"Patricia Brown")</f>
        <v>Patricia Brown</v>
      </c>
      <c r="M50" s="1" t="str">
        <f ca="1">IFERROR(__xludf.DUMMYFUNCTION("""COMPUTED_VALUE"""),"F60")</f>
        <v>F60</v>
      </c>
      <c r="N50" s="1" t="str">
        <f ca="1">IFERROR(__xludf.DUMMYFUNCTION("""COMPUTED_VALUE"""),"Newry City Runners")</f>
        <v>Newry City Runners</v>
      </c>
      <c r="O50" s="3">
        <f ca="1">IFERROR(__xludf.DUMMYFUNCTION("""COMPUTED_VALUE"""),0.0157523148148148)</f>
        <v>1.5752314814814799E-2</v>
      </c>
      <c r="P50" s="1">
        <f ca="1">IFERROR(__xludf.DUMMYFUNCTION("""COMPUTED_VALUE"""),48)</f>
        <v>48</v>
      </c>
      <c r="Q50" s="1" t="str">
        <f ca="1">IFERROR(__xludf.DUMMYFUNCTION("""COMPUTED_VALUE"""),"Conor Ferguson")</f>
        <v>Conor Ferguson</v>
      </c>
      <c r="R50" s="1" t="str">
        <f ca="1">IFERROR(__xludf.DUMMYFUNCTION("""COMPUTED_VALUE"""),"U15B")</f>
        <v>U15B</v>
      </c>
      <c r="S50" s="1" t="str">
        <f ca="1">IFERROR(__xludf.DUMMYFUNCTION("""COMPUTED_VALUE"""),"St Michael's Enniskillen")</f>
        <v>St Michael's Enniskillen</v>
      </c>
      <c r="T50" s="3">
        <f ca="1">IFERROR(__xludf.DUMMYFUNCTION("""COMPUTED_VALUE"""),0.00980324074074074)</f>
        <v>9.8032407407407408E-3</v>
      </c>
      <c r="U50" s="1">
        <f ca="1">IFERROR(__xludf.DUMMYFUNCTION("""COMPUTED_VALUE"""),48)</f>
        <v>48</v>
      </c>
      <c r="V50" s="1" t="str">
        <f ca="1">IFERROR(__xludf.DUMMYFUNCTION("""COMPUTED_VALUE"""),"Mark Weir")</f>
        <v>Mark Weir</v>
      </c>
      <c r="W50" s="1" t="str">
        <f ca="1">IFERROR(__xludf.DUMMYFUNCTION("""COMPUTED_VALUE"""),"M45")</f>
        <v>M45</v>
      </c>
      <c r="X50" s="1" t="str">
        <f ca="1">IFERROR(__xludf.DUMMYFUNCTION("""COMPUTED_VALUE"""),"North Down AC")</f>
        <v>North Down AC</v>
      </c>
      <c r="Y50" s="3">
        <f ca="1">IFERROR(__xludf.DUMMYFUNCTION("""COMPUTED_VALUE"""),0.0174189814814814)</f>
        <v>1.74189814814814E-2</v>
      </c>
      <c r="Z50" s="1"/>
      <c r="AA50" s="1"/>
      <c r="AB50" s="1"/>
      <c r="AC50" s="1"/>
      <c r="AD50" s="1" t="str">
        <f ca="1">IFERROR(__xludf.DUMMYFUNCTION("""COMPUTED_VALUE""")," ")</f>
        <v xml:space="preserve"> </v>
      </c>
      <c r="AE50" s="1" t="str">
        <f ca="1">IFERROR(__xludf.DUMMYFUNCTION("""COMPUTED_VALUE""")," ")</f>
        <v xml:space="preserve"> </v>
      </c>
      <c r="AF50" s="1" t="str">
        <f ca="1">IFERROR(__xludf.DUMMYFUNCTION("""COMPUTED_VALUE""")," ")</f>
        <v xml:space="preserve"> </v>
      </c>
      <c r="AG50" s="1" t="str">
        <f ca="1">IFERROR(__xludf.DUMMYFUNCTION("""COMPUTED_VALUE""")," ")</f>
        <v xml:space="preserve"> </v>
      </c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</row>
    <row r="51" spans="1:62" x14ac:dyDescent="0.25">
      <c r="A51" s="1">
        <f ca="1">IFERROR(__xludf.DUMMYFUNCTION("""COMPUTED_VALUE"""),49)</f>
        <v>49</v>
      </c>
      <c r="B51" s="1" t="str">
        <f ca="1">IFERROR(__xludf.DUMMYFUNCTION("""COMPUTED_VALUE"""),"Philip Mulligan")</f>
        <v>Philip Mulligan</v>
      </c>
      <c r="C51" s="1" t="str">
        <f ca="1">IFERROR(__xludf.DUMMYFUNCTION("""COMPUTED_VALUE"""),"M55")</f>
        <v>M55</v>
      </c>
      <c r="D51" s="1" t="str">
        <f ca="1">IFERROR(__xludf.DUMMYFUNCTION("""COMPUTED_VALUE"""),"North Down AC")</f>
        <v>North Down AC</v>
      </c>
      <c r="E51" s="3">
        <f ca="1">IFERROR(__xludf.DUMMYFUNCTION("""COMPUTED_VALUE"""),0.0138425925925925)</f>
        <v>1.38425925925925E-2</v>
      </c>
      <c r="F51" s="1">
        <f ca="1">IFERROR(__xludf.DUMMYFUNCTION("""COMPUTED_VALUE"""),49)</f>
        <v>49</v>
      </c>
      <c r="G51" s="1" t="str">
        <f ca="1">IFERROR(__xludf.DUMMYFUNCTION("""COMPUTED_VALUE"""),"Freddie Ferguson")</f>
        <v>Freddie Ferguson</v>
      </c>
      <c r="H51" s="1" t="str">
        <f ca="1">IFERROR(__xludf.DUMMYFUNCTION("""COMPUTED_VALUE"""),"U13B")</f>
        <v>U13B</v>
      </c>
      <c r="I51" s="1" t="str">
        <f ca="1">IFERROR(__xludf.DUMMYFUNCTION("""COMPUTED_VALUE"""),"East Down AC")</f>
        <v>East Down AC</v>
      </c>
      <c r="J51" s="3">
        <f ca="1">IFERROR(__xludf.DUMMYFUNCTION("""COMPUTED_VALUE"""),0.00511574074074074)</f>
        <v>5.1157407407407401E-3</v>
      </c>
      <c r="K51" s="1">
        <f ca="1">IFERROR(__xludf.DUMMYFUNCTION("""COMPUTED_VALUE"""),49)</f>
        <v>49</v>
      </c>
      <c r="L51" s="1" t="str">
        <f ca="1">IFERROR(__xludf.DUMMYFUNCTION("""COMPUTED_VALUE"""),"Emma Glynn")</f>
        <v>Emma Glynn</v>
      </c>
      <c r="M51" s="1" t="str">
        <f ca="1">IFERROR(__xludf.DUMMYFUNCTION("""COMPUTED_VALUE"""),"F50")</f>
        <v>F50</v>
      </c>
      <c r="N51" s="1" t="str">
        <f ca="1">IFERROR(__xludf.DUMMYFUNCTION("""COMPUTED_VALUE"""),"Dromore AC")</f>
        <v>Dromore AC</v>
      </c>
      <c r="O51" s="3">
        <f ca="1">IFERROR(__xludf.DUMMYFUNCTION("""COMPUTED_VALUE"""),0.0159375)</f>
        <v>1.59375E-2</v>
      </c>
      <c r="P51" s="1">
        <f ca="1">IFERROR(__xludf.DUMMYFUNCTION("""COMPUTED_VALUE"""),49)</f>
        <v>49</v>
      </c>
      <c r="Q51" s="1" t="str">
        <f ca="1">IFERROR(__xludf.DUMMYFUNCTION("""COMPUTED_VALUE"""),"Ryan Hegarty")</f>
        <v>Ryan Hegarty</v>
      </c>
      <c r="R51" s="1" t="str">
        <f ca="1">IFERROR(__xludf.DUMMYFUNCTION("""COMPUTED_VALUE"""),"U15B")</f>
        <v>U15B</v>
      </c>
      <c r="S51" s="1" t="str">
        <f ca="1">IFERROR(__xludf.DUMMYFUNCTION("""COMPUTED_VALUE"""),"St Michael's Enniskillen")</f>
        <v>St Michael's Enniskillen</v>
      </c>
      <c r="T51" s="3">
        <f ca="1">IFERROR(__xludf.DUMMYFUNCTION("""COMPUTED_VALUE"""),0.00986111111111111)</f>
        <v>9.8611111111111104E-3</v>
      </c>
      <c r="U51" s="1">
        <f ca="1">IFERROR(__xludf.DUMMYFUNCTION("""COMPUTED_VALUE"""),49)</f>
        <v>49</v>
      </c>
      <c r="V51" s="1" t="str">
        <f ca="1">IFERROR(__xludf.DUMMYFUNCTION("""COMPUTED_VALUE"""),"Chris Sloan")</f>
        <v>Chris Sloan</v>
      </c>
      <c r="W51" s="1" t="str">
        <f ca="1">IFERROR(__xludf.DUMMYFUNCTION("""COMPUTED_VALUE"""),"M35")</f>
        <v>M35</v>
      </c>
      <c r="X51" s="1" t="str">
        <f ca="1">IFERROR(__xludf.DUMMYFUNCTION("""COMPUTED_VALUE"""),"Willowfield Harriers")</f>
        <v>Willowfield Harriers</v>
      </c>
      <c r="Y51" s="3">
        <f ca="1">IFERROR(__xludf.DUMMYFUNCTION("""COMPUTED_VALUE"""),0.0174768518518518)</f>
        <v>1.7476851851851799E-2</v>
      </c>
      <c r="Z51" s="1"/>
      <c r="AA51" s="1"/>
      <c r="AB51" s="1"/>
      <c r="AC51" s="1"/>
      <c r="AD51" s="1" t="str">
        <f ca="1">IFERROR(__xludf.DUMMYFUNCTION("""COMPUTED_VALUE""")," ")</f>
        <v xml:space="preserve"> </v>
      </c>
      <c r="AE51" s="1" t="str">
        <f ca="1">IFERROR(__xludf.DUMMYFUNCTION("""COMPUTED_VALUE""")," ")</f>
        <v xml:space="preserve"> </v>
      </c>
      <c r="AF51" s="1" t="str">
        <f ca="1">IFERROR(__xludf.DUMMYFUNCTION("""COMPUTED_VALUE""")," ")</f>
        <v xml:space="preserve"> </v>
      </c>
      <c r="AG51" s="1" t="str">
        <f ca="1">IFERROR(__xludf.DUMMYFUNCTION("""COMPUTED_VALUE""")," ")</f>
        <v xml:space="preserve"> </v>
      </c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</row>
    <row r="52" spans="1:62" x14ac:dyDescent="0.25">
      <c r="A52" s="1">
        <f ca="1">IFERROR(__xludf.DUMMYFUNCTION("""COMPUTED_VALUE"""),50)</f>
        <v>50</v>
      </c>
      <c r="B52" s="1" t="str">
        <f ca="1">IFERROR(__xludf.DUMMYFUNCTION("""COMPUTED_VALUE"""),"Gerry O Doherty")</f>
        <v>Gerry O Doherty</v>
      </c>
      <c r="C52" s="1" t="str">
        <f ca="1">IFERROR(__xludf.DUMMYFUNCTION("""COMPUTED_VALUE"""),"M65")</f>
        <v>M65</v>
      </c>
      <c r="D52" s="1" t="str">
        <f ca="1">IFERROR(__xludf.DUMMYFUNCTION("""COMPUTED_VALUE"""),"City of Derry AC Spartans")</f>
        <v>City of Derry AC Spartans</v>
      </c>
      <c r="E52" s="3">
        <f ca="1">IFERROR(__xludf.DUMMYFUNCTION("""COMPUTED_VALUE"""),0.0138773148148148)</f>
        <v>1.3877314814814801E-2</v>
      </c>
      <c r="F52" s="1">
        <f ca="1">IFERROR(__xludf.DUMMYFUNCTION("""COMPUTED_VALUE"""),50)</f>
        <v>50</v>
      </c>
      <c r="G52" s="1" t="str">
        <f ca="1">IFERROR(__xludf.DUMMYFUNCTION("""COMPUTED_VALUE"""),"Meabh Smith")</f>
        <v>Meabh Smith</v>
      </c>
      <c r="H52" s="1" t="str">
        <f ca="1">IFERROR(__xludf.DUMMYFUNCTION("""COMPUTED_VALUE"""),"U13G")</f>
        <v>U13G</v>
      </c>
      <c r="I52" s="1" t="str">
        <f ca="1">IFERROR(__xludf.DUMMYFUNCTION("""COMPUTED_VALUE"""),"Ballymena and Antrim AC")</f>
        <v>Ballymena and Antrim AC</v>
      </c>
      <c r="J52" s="3">
        <f ca="1">IFERROR(__xludf.DUMMYFUNCTION("""COMPUTED_VALUE"""),0.00511574074074074)</f>
        <v>5.1157407407407401E-3</v>
      </c>
      <c r="K52" s="1">
        <f ca="1">IFERROR(__xludf.DUMMYFUNCTION("""COMPUTED_VALUE"""),50)</f>
        <v>50</v>
      </c>
      <c r="L52" s="1" t="str">
        <f ca="1">IFERROR(__xludf.DUMMYFUNCTION("""COMPUTED_VALUE"""),"Sinead Scullion")</f>
        <v>Sinead Scullion</v>
      </c>
      <c r="M52" s="1" t="str">
        <f ca="1">IFERROR(__xludf.DUMMYFUNCTION("""COMPUTED_VALUE"""),"F45")</f>
        <v>F45</v>
      </c>
      <c r="N52" s="1" t="str">
        <f ca="1">IFERROR(__xludf.DUMMYFUNCTION("""COMPUTED_VALUE"""),"Ballymena Runners")</f>
        <v>Ballymena Runners</v>
      </c>
      <c r="O52" s="3">
        <f ca="1">IFERROR(__xludf.DUMMYFUNCTION("""COMPUTED_VALUE"""),0.0160300925925925)</f>
        <v>1.6030092592592499E-2</v>
      </c>
      <c r="P52" s="1">
        <f ca="1">IFERROR(__xludf.DUMMYFUNCTION("""COMPUTED_VALUE"""),50)</f>
        <v>50</v>
      </c>
      <c r="Q52" s="1" t="str">
        <f ca="1">IFERROR(__xludf.DUMMYFUNCTION("""COMPUTED_VALUE"""),"Emmet Mc Gurn")</f>
        <v>Emmet Mc Gurn</v>
      </c>
      <c r="R52" s="1" t="str">
        <f ca="1">IFERROR(__xludf.DUMMYFUNCTION("""COMPUTED_VALUE"""),"U15B")</f>
        <v>U15B</v>
      </c>
      <c r="S52" s="1" t="str">
        <f ca="1">IFERROR(__xludf.DUMMYFUNCTION("""COMPUTED_VALUE"""),"St Michael's Enniskillen")</f>
        <v>St Michael's Enniskillen</v>
      </c>
      <c r="T52" s="3">
        <f ca="1">IFERROR(__xludf.DUMMYFUNCTION("""COMPUTED_VALUE"""),0.00993055555555555)</f>
        <v>9.9305555555555501E-3</v>
      </c>
      <c r="U52" s="1">
        <f ca="1">IFERROR(__xludf.DUMMYFUNCTION("""COMPUTED_VALUE"""),50)</f>
        <v>50</v>
      </c>
      <c r="V52" s="1" t="str">
        <f ca="1">IFERROR(__xludf.DUMMYFUNCTION("""COMPUTED_VALUE"""),"Simon Reeve")</f>
        <v>Simon Reeve</v>
      </c>
      <c r="W52" s="1" t="str">
        <f ca="1">IFERROR(__xludf.DUMMYFUNCTION("""COMPUTED_VALUE"""),"M45")</f>
        <v>M45</v>
      </c>
      <c r="X52" s="1" t="str">
        <f ca="1">IFERROR(__xludf.DUMMYFUNCTION("""COMPUTED_VALUE"""),"North Belfast Harriers")</f>
        <v>North Belfast Harriers</v>
      </c>
      <c r="Y52" s="3">
        <f ca="1">IFERROR(__xludf.DUMMYFUNCTION("""COMPUTED_VALUE"""),0.0175)</f>
        <v>1.7500000000000002E-2</v>
      </c>
      <c r="Z52" s="1"/>
      <c r="AA52" s="1"/>
      <c r="AB52" s="1"/>
      <c r="AC52" s="1"/>
      <c r="AD52" s="1" t="str">
        <f ca="1">IFERROR(__xludf.DUMMYFUNCTION("""COMPUTED_VALUE""")," ")</f>
        <v xml:space="preserve"> </v>
      </c>
      <c r="AE52" s="1" t="str">
        <f ca="1">IFERROR(__xludf.DUMMYFUNCTION("""COMPUTED_VALUE""")," ")</f>
        <v xml:space="preserve"> </v>
      </c>
      <c r="AF52" s="1" t="str">
        <f ca="1">IFERROR(__xludf.DUMMYFUNCTION("""COMPUTED_VALUE""")," ")</f>
        <v xml:space="preserve"> </v>
      </c>
      <c r="AG52" s="1" t="str">
        <f ca="1">IFERROR(__xludf.DUMMYFUNCTION("""COMPUTED_VALUE""")," ")</f>
        <v xml:space="preserve"> </v>
      </c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</row>
    <row r="53" spans="1:62" x14ac:dyDescent="0.25">
      <c r="A53" s="1">
        <f ca="1">IFERROR(__xludf.DUMMYFUNCTION("""COMPUTED_VALUE"""),51)</f>
        <v>51</v>
      </c>
      <c r="B53" s="1" t="str">
        <f ca="1">IFERROR(__xludf.DUMMYFUNCTION("""COMPUTED_VALUE"""),"Ian Bailey")</f>
        <v>Ian Bailey</v>
      </c>
      <c r="C53" s="1" t="str">
        <f ca="1">IFERROR(__xludf.DUMMYFUNCTION("""COMPUTED_VALUE"""),"M60")</f>
        <v>M60</v>
      </c>
      <c r="D53" s="1" t="str">
        <f ca="1">IFERROR(__xludf.DUMMYFUNCTION("""COMPUTED_VALUE"""),"Lagan Valley AC")</f>
        <v>Lagan Valley AC</v>
      </c>
      <c r="E53" s="3">
        <f ca="1">IFERROR(__xludf.DUMMYFUNCTION("""COMPUTED_VALUE"""),0.0139236111111111)</f>
        <v>1.39236111111111E-2</v>
      </c>
      <c r="F53" s="1">
        <f ca="1">IFERROR(__xludf.DUMMYFUNCTION("""COMPUTED_VALUE"""),51)</f>
        <v>51</v>
      </c>
      <c r="G53" s="1" t="str">
        <f ca="1">IFERROR(__xludf.DUMMYFUNCTION("""COMPUTED_VALUE"""),"Thomas Hendron")</f>
        <v>Thomas Hendron</v>
      </c>
      <c r="H53" s="1" t="str">
        <f ca="1">IFERROR(__xludf.DUMMYFUNCTION("""COMPUTED_VALUE"""),"U13B")</f>
        <v>U13B</v>
      </c>
      <c r="I53" s="1" t="str">
        <f ca="1">IFERROR(__xludf.DUMMYFUNCTION("""COMPUTED_VALUE"""),"Willowfield Harriers")</f>
        <v>Willowfield Harriers</v>
      </c>
      <c r="J53" s="3">
        <f ca="1">IFERROR(__xludf.DUMMYFUNCTION("""COMPUTED_VALUE"""),0.00513888888888888)</f>
        <v>5.1388888888888803E-3</v>
      </c>
      <c r="K53" s="1">
        <f ca="1">IFERROR(__xludf.DUMMYFUNCTION("""COMPUTED_VALUE"""),51)</f>
        <v>51</v>
      </c>
      <c r="L53" s="1" t="str">
        <f ca="1">IFERROR(__xludf.DUMMYFUNCTION("""COMPUTED_VALUE"""),"Eileen Jack")</f>
        <v>Eileen Jack</v>
      </c>
      <c r="M53" s="1" t="str">
        <f ca="1">IFERROR(__xludf.DUMMYFUNCTION("""COMPUTED_VALUE"""),"F35")</f>
        <v>F35</v>
      </c>
      <c r="N53" s="1" t="str">
        <f ca="1">IFERROR(__xludf.DUMMYFUNCTION("""COMPUTED_VALUE"""),"Beechmount Harriers")</f>
        <v>Beechmount Harriers</v>
      </c>
      <c r="O53" s="3">
        <f ca="1">IFERROR(__xludf.DUMMYFUNCTION("""COMPUTED_VALUE"""),0.0161574074074074)</f>
        <v>1.6157407407407402E-2</v>
      </c>
      <c r="P53" s="1">
        <f ca="1">IFERROR(__xludf.DUMMYFUNCTION("""COMPUTED_VALUE"""),51)</f>
        <v>51</v>
      </c>
      <c r="Q53" s="1" t="str">
        <f ca="1">IFERROR(__xludf.DUMMYFUNCTION("""COMPUTED_VALUE"""),"Ronan Prunty")</f>
        <v>Ronan Prunty</v>
      </c>
      <c r="R53" s="1" t="str">
        <f ca="1">IFERROR(__xludf.DUMMYFUNCTION("""COMPUTED_VALUE"""),"U15B")</f>
        <v>U15B</v>
      </c>
      <c r="S53" s="1" t="str">
        <f ca="1">IFERROR(__xludf.DUMMYFUNCTION("""COMPUTED_VALUE"""),"St Michael's Enniskillen")</f>
        <v>St Michael's Enniskillen</v>
      </c>
      <c r="T53" s="3">
        <f ca="1">IFERROR(__xludf.DUMMYFUNCTION("""COMPUTED_VALUE"""),0.00997685185185185)</f>
        <v>9.9768518518518496E-3</v>
      </c>
      <c r="U53" s="1">
        <f ca="1">IFERROR(__xludf.DUMMYFUNCTION("""COMPUTED_VALUE"""),51)</f>
        <v>51</v>
      </c>
      <c r="V53" s="1" t="str">
        <f ca="1">IFERROR(__xludf.DUMMYFUNCTION("""COMPUTED_VALUE"""),"William Brown")</f>
        <v>William Brown</v>
      </c>
      <c r="W53" s="1" t="str">
        <f ca="1">IFERROR(__xludf.DUMMYFUNCTION("""COMPUTED_VALUE"""),"M35")</f>
        <v>M35</v>
      </c>
      <c r="X53" s="1" t="str">
        <f ca="1">IFERROR(__xludf.DUMMYFUNCTION("""COMPUTED_VALUE"""),"Ballydrain Harriers")</f>
        <v>Ballydrain Harriers</v>
      </c>
      <c r="Y53" s="3">
        <f ca="1">IFERROR(__xludf.DUMMYFUNCTION("""COMPUTED_VALUE"""),0.0177314814814814)</f>
        <v>1.77314814814814E-2</v>
      </c>
      <c r="Z53" s="1"/>
      <c r="AA53" s="1"/>
      <c r="AB53" s="1"/>
      <c r="AC53" s="1"/>
      <c r="AD53" s="1" t="str">
        <f ca="1">IFERROR(__xludf.DUMMYFUNCTION("""COMPUTED_VALUE""")," ")</f>
        <v xml:space="preserve"> </v>
      </c>
      <c r="AE53" s="1" t="str">
        <f ca="1">IFERROR(__xludf.DUMMYFUNCTION("""COMPUTED_VALUE""")," ")</f>
        <v xml:space="preserve"> </v>
      </c>
      <c r="AF53" s="1" t="str">
        <f ca="1">IFERROR(__xludf.DUMMYFUNCTION("""COMPUTED_VALUE""")," ")</f>
        <v xml:space="preserve"> </v>
      </c>
      <c r="AG53" s="1" t="str">
        <f ca="1">IFERROR(__xludf.DUMMYFUNCTION("""COMPUTED_VALUE""")," ")</f>
        <v xml:space="preserve"> </v>
      </c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</row>
    <row r="54" spans="1:62" x14ac:dyDescent="0.25">
      <c r="A54" s="1">
        <f ca="1">IFERROR(__xludf.DUMMYFUNCTION("""COMPUTED_VALUE"""),52)</f>
        <v>52</v>
      </c>
      <c r="B54" s="1" t="str">
        <f ca="1">IFERROR(__xludf.DUMMYFUNCTION("""COMPUTED_VALUE"""),"George Ferguson")</f>
        <v>George Ferguson</v>
      </c>
      <c r="C54" s="1" t="str">
        <f ca="1">IFERROR(__xludf.DUMMYFUNCTION("""COMPUTED_VALUE"""),"M55")</f>
        <v>M55</v>
      </c>
      <c r="D54" s="1" t="str">
        <f ca="1">IFERROR(__xludf.DUMMYFUNCTION("""COMPUTED_VALUE"""),"Beechmount Harriers")</f>
        <v>Beechmount Harriers</v>
      </c>
      <c r="E54" s="3">
        <f ca="1">IFERROR(__xludf.DUMMYFUNCTION("""COMPUTED_VALUE"""),0.0139699074074074)</f>
        <v>1.39699074074074E-2</v>
      </c>
      <c r="F54" s="1">
        <f ca="1">IFERROR(__xludf.DUMMYFUNCTION("""COMPUTED_VALUE"""),52)</f>
        <v>52</v>
      </c>
      <c r="G54" s="1" t="str">
        <f ca="1">IFERROR(__xludf.DUMMYFUNCTION("""COMPUTED_VALUE"""),"Fin Óg McCrystal")</f>
        <v>Fin Óg McCrystal</v>
      </c>
      <c r="H54" s="1" t="str">
        <f ca="1">IFERROR(__xludf.DUMMYFUNCTION("""COMPUTED_VALUE"""),"U13B")</f>
        <v>U13B</v>
      </c>
      <c r="I54" s="1" t="str">
        <f ca="1">IFERROR(__xludf.DUMMYFUNCTION("""COMPUTED_VALUE"""),"St Michael's Enniskillen")</f>
        <v>St Michael's Enniskillen</v>
      </c>
      <c r="J54" s="3">
        <f ca="1">IFERROR(__xludf.DUMMYFUNCTION("""COMPUTED_VALUE"""),0.00515046296296296)</f>
        <v>5.15046296296296E-3</v>
      </c>
      <c r="K54" s="1">
        <f ca="1">IFERROR(__xludf.DUMMYFUNCTION("""COMPUTED_VALUE"""),52)</f>
        <v>52</v>
      </c>
      <c r="L54" s="1" t="str">
        <f ca="1">IFERROR(__xludf.DUMMYFUNCTION("""COMPUTED_VALUE"""),"Jill Bruce")</f>
        <v>Jill Bruce</v>
      </c>
      <c r="M54" s="1" t="str">
        <f ca="1">IFERROR(__xludf.DUMMYFUNCTION("""COMPUTED_VALUE"""),"F45")</f>
        <v>F45</v>
      </c>
      <c r="N54" s="1" t="str">
        <f ca="1">IFERROR(__xludf.DUMMYFUNCTION("""COMPUTED_VALUE"""),"Dromore AC")</f>
        <v>Dromore AC</v>
      </c>
      <c r="O54" s="3">
        <f ca="1">IFERROR(__xludf.DUMMYFUNCTION("""COMPUTED_VALUE"""),0.0162037037037037)</f>
        <v>1.6203703703703699E-2</v>
      </c>
      <c r="P54" s="1">
        <f ca="1">IFERROR(__xludf.DUMMYFUNCTION("""COMPUTED_VALUE"""),52)</f>
        <v>52</v>
      </c>
      <c r="Q54" s="1" t="str">
        <f ca="1">IFERROR(__xludf.DUMMYFUNCTION("""COMPUTED_VALUE"""),"Ciara Savage")</f>
        <v>Ciara Savage</v>
      </c>
      <c r="R54" s="1" t="str">
        <f ca="1">IFERROR(__xludf.DUMMYFUNCTION("""COMPUTED_VALUE"""),"U17G")</f>
        <v>U17G</v>
      </c>
      <c r="S54" s="1" t="str">
        <f ca="1">IFERROR(__xludf.DUMMYFUNCTION("""COMPUTED_VALUE"""),"Newcastle &amp; District AC")</f>
        <v>Newcastle &amp; District AC</v>
      </c>
      <c r="T54" s="3">
        <f ca="1">IFERROR(__xludf.DUMMYFUNCTION("""COMPUTED_VALUE"""),0.00998842592592592)</f>
        <v>9.9884259259259197E-3</v>
      </c>
      <c r="U54" s="1">
        <f ca="1">IFERROR(__xludf.DUMMYFUNCTION("""COMPUTED_VALUE"""),52)</f>
        <v>52</v>
      </c>
      <c r="V54" s="1" t="str">
        <f ca="1">IFERROR(__xludf.DUMMYFUNCTION("""COMPUTED_VALUE"""),"Jack Burns")</f>
        <v>Jack Burns</v>
      </c>
      <c r="W54" s="1" t="str">
        <f ca="1">IFERROR(__xludf.DUMMYFUNCTION("""COMPUTED_VALUE"""),"MJ")</f>
        <v>MJ</v>
      </c>
      <c r="X54" s="1" t="str">
        <f ca="1">IFERROR(__xludf.DUMMYFUNCTION("""COMPUTED_VALUE"""),"St Michael's Enniskillen")</f>
        <v>St Michael's Enniskillen</v>
      </c>
      <c r="Y54" s="3">
        <f ca="1">IFERROR(__xludf.DUMMYFUNCTION("""COMPUTED_VALUE"""),0.0178472222222222)</f>
        <v>1.7847222222222198E-2</v>
      </c>
      <c r="Z54" s="1"/>
      <c r="AA54" s="1"/>
      <c r="AB54" s="1"/>
      <c r="AC54" s="1"/>
      <c r="AD54" s="1" t="str">
        <f ca="1">IFERROR(__xludf.DUMMYFUNCTION("""COMPUTED_VALUE""")," ")</f>
        <v xml:space="preserve"> </v>
      </c>
      <c r="AE54" s="1" t="str">
        <f ca="1">IFERROR(__xludf.DUMMYFUNCTION("""COMPUTED_VALUE""")," ")</f>
        <v xml:space="preserve"> </v>
      </c>
      <c r="AF54" s="1" t="str">
        <f ca="1">IFERROR(__xludf.DUMMYFUNCTION("""COMPUTED_VALUE""")," ")</f>
        <v xml:space="preserve"> </v>
      </c>
      <c r="AG54" s="1" t="str">
        <f ca="1">IFERROR(__xludf.DUMMYFUNCTION("""COMPUTED_VALUE""")," ")</f>
        <v xml:space="preserve"> </v>
      </c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</row>
    <row r="55" spans="1:62" x14ac:dyDescent="0.25">
      <c r="A55" s="1">
        <f ca="1">IFERROR(__xludf.DUMMYFUNCTION("""COMPUTED_VALUE"""),53)</f>
        <v>53</v>
      </c>
      <c r="B55" s="1" t="str">
        <f ca="1">IFERROR(__xludf.DUMMYFUNCTION("""COMPUTED_VALUE"""),"Alan Lockington")</f>
        <v>Alan Lockington</v>
      </c>
      <c r="C55" s="1" t="str">
        <f ca="1">IFERROR(__xludf.DUMMYFUNCTION("""COMPUTED_VALUE"""),"M35")</f>
        <v>M35</v>
      </c>
      <c r="D55" s="1" t="str">
        <f ca="1">IFERROR(__xludf.DUMMYFUNCTION("""COMPUTED_VALUE"""),"Larne AC")</f>
        <v>Larne AC</v>
      </c>
      <c r="E55" s="3">
        <f ca="1">IFERROR(__xludf.DUMMYFUNCTION("""COMPUTED_VALUE"""),0.0140162037037037)</f>
        <v>1.4016203703703701E-2</v>
      </c>
      <c r="F55" s="1">
        <f ca="1">IFERROR(__xludf.DUMMYFUNCTION("""COMPUTED_VALUE"""),53)</f>
        <v>53</v>
      </c>
      <c r="G55" s="1" t="str">
        <f ca="1">IFERROR(__xludf.DUMMYFUNCTION("""COMPUTED_VALUE"""),"Holly Scott")</f>
        <v>Holly Scott</v>
      </c>
      <c r="H55" s="1" t="str">
        <f ca="1">IFERROR(__xludf.DUMMYFUNCTION("""COMPUTED_VALUE"""),"U13G")</f>
        <v>U13G</v>
      </c>
      <c r="I55" s="1" t="str">
        <f ca="1">IFERROR(__xludf.DUMMYFUNCTION("""COMPUTED_VALUE"""),"Scrabo Striders")</f>
        <v>Scrabo Striders</v>
      </c>
      <c r="J55" s="3">
        <f ca="1">IFERROR(__xludf.DUMMYFUNCTION("""COMPUTED_VALUE"""),0.00528935185185185)</f>
        <v>5.2893518518518498E-3</v>
      </c>
      <c r="K55" s="1">
        <f ca="1">IFERROR(__xludf.DUMMYFUNCTION("""COMPUTED_VALUE"""),53)</f>
        <v>53</v>
      </c>
      <c r="L55" s="1" t="str">
        <f ca="1">IFERROR(__xludf.DUMMYFUNCTION("""COMPUTED_VALUE"""),"Lorraine O'Neill")</f>
        <v>Lorraine O'Neill</v>
      </c>
      <c r="M55" s="1" t="str">
        <f ca="1">IFERROR(__xludf.DUMMYFUNCTION("""COMPUTED_VALUE"""),"F50")</f>
        <v>F50</v>
      </c>
      <c r="N55" s="1" t="str">
        <f ca="1">IFERROR(__xludf.DUMMYFUNCTION("""COMPUTED_VALUE"""),"Armagh AC")</f>
        <v>Armagh AC</v>
      </c>
      <c r="O55" s="3">
        <f ca="1">IFERROR(__xludf.DUMMYFUNCTION("""COMPUTED_VALUE"""),0.0162384259259259)</f>
        <v>1.6238425925925899E-2</v>
      </c>
      <c r="P55" s="1">
        <f ca="1">IFERROR(__xludf.DUMMYFUNCTION("""COMPUTED_VALUE"""),53)</f>
        <v>53</v>
      </c>
      <c r="Q55" s="1" t="str">
        <f ca="1">IFERROR(__xludf.DUMMYFUNCTION("""COMPUTED_VALUE"""),"Amy Evans")</f>
        <v>Amy Evans</v>
      </c>
      <c r="R55" s="1" t="str">
        <f ca="1">IFERROR(__xludf.DUMMYFUNCTION("""COMPUTED_VALUE"""),"U17G")</f>
        <v>U17G</v>
      </c>
      <c r="S55" s="1" t="str">
        <f ca="1">IFERROR(__xludf.DUMMYFUNCTION("""COMPUTED_VALUE"""),"Beechmount Harriers")</f>
        <v>Beechmount Harriers</v>
      </c>
      <c r="T55" s="3">
        <f ca="1">IFERROR(__xludf.DUMMYFUNCTION("""COMPUTED_VALUE"""),0.0100925925925925)</f>
        <v>1.00925925925925E-2</v>
      </c>
      <c r="U55" s="1">
        <f ca="1">IFERROR(__xludf.DUMMYFUNCTION("""COMPUTED_VALUE"""),53)</f>
        <v>53</v>
      </c>
      <c r="V55" s="1" t="str">
        <f ca="1">IFERROR(__xludf.DUMMYFUNCTION("""COMPUTED_VALUE"""),"Peter Reed")</f>
        <v>Peter Reed</v>
      </c>
      <c r="W55" s="1" t="str">
        <f ca="1">IFERROR(__xludf.DUMMYFUNCTION("""COMPUTED_VALUE"""),"MJ")</f>
        <v>MJ</v>
      </c>
      <c r="X55" s="1" t="str">
        <f ca="1">IFERROR(__xludf.DUMMYFUNCTION("""COMPUTED_VALUE"""),"North Belfast Harriers")</f>
        <v>North Belfast Harriers</v>
      </c>
      <c r="Y55" s="3">
        <f ca="1">IFERROR(__xludf.DUMMYFUNCTION("""COMPUTED_VALUE"""),0.0178935185185185)</f>
        <v>1.78935185185185E-2</v>
      </c>
      <c r="Z55" s="1"/>
      <c r="AA55" s="1"/>
      <c r="AB55" s="1"/>
      <c r="AC55" s="1"/>
      <c r="AD55" s="1" t="str">
        <f ca="1">IFERROR(__xludf.DUMMYFUNCTION("""COMPUTED_VALUE""")," ")</f>
        <v xml:space="preserve"> </v>
      </c>
      <c r="AE55" s="1" t="str">
        <f ca="1">IFERROR(__xludf.DUMMYFUNCTION("""COMPUTED_VALUE""")," ")</f>
        <v xml:space="preserve"> </v>
      </c>
      <c r="AF55" s="1" t="str">
        <f ca="1">IFERROR(__xludf.DUMMYFUNCTION("""COMPUTED_VALUE""")," ")</f>
        <v xml:space="preserve"> </v>
      </c>
      <c r="AG55" s="1" t="str">
        <f ca="1">IFERROR(__xludf.DUMMYFUNCTION("""COMPUTED_VALUE""")," ")</f>
        <v xml:space="preserve"> </v>
      </c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</row>
    <row r="56" spans="1:62" x14ac:dyDescent="0.25">
      <c r="A56" s="1">
        <f ca="1">IFERROR(__xludf.DUMMYFUNCTION("""COMPUTED_VALUE"""),54)</f>
        <v>54</v>
      </c>
      <c r="B56" s="1" t="str">
        <f ca="1">IFERROR(__xludf.DUMMYFUNCTION("""COMPUTED_VALUE"""),"Paul O'Kane")</f>
        <v>Paul O'Kane</v>
      </c>
      <c r="C56" s="1" t="str">
        <f ca="1">IFERROR(__xludf.DUMMYFUNCTION("""COMPUTED_VALUE"""),"M50")</f>
        <v>M50</v>
      </c>
      <c r="D56" s="1" t="str">
        <f ca="1">IFERROR(__xludf.DUMMYFUNCTION("""COMPUTED_VALUE"""),"PACE RC")</f>
        <v>PACE RC</v>
      </c>
      <c r="E56" s="3">
        <f ca="1">IFERROR(__xludf.DUMMYFUNCTION("""COMPUTED_VALUE"""),0.0142361111111111)</f>
        <v>1.42361111111111E-2</v>
      </c>
      <c r="F56" s="1">
        <f ca="1">IFERROR(__xludf.DUMMYFUNCTION("""COMPUTED_VALUE"""),54)</f>
        <v>54</v>
      </c>
      <c r="G56" s="1" t="str">
        <f ca="1">IFERROR(__xludf.DUMMYFUNCTION("""COMPUTED_VALUE"""),"Willow Farrington")</f>
        <v>Willow Farrington</v>
      </c>
      <c r="H56" s="1" t="str">
        <f ca="1">IFERROR(__xludf.DUMMYFUNCTION("""COMPUTED_VALUE"""),"U13G")</f>
        <v>U13G</v>
      </c>
      <c r="I56" s="1" t="str">
        <f ca="1">IFERROR(__xludf.DUMMYFUNCTION("""COMPUTED_VALUE"""),"Scrabo Striders")</f>
        <v>Scrabo Striders</v>
      </c>
      <c r="J56" s="3">
        <f ca="1">IFERROR(__xludf.DUMMYFUNCTION("""COMPUTED_VALUE"""),0.00530092592592592)</f>
        <v>5.3009259259259199E-3</v>
      </c>
      <c r="K56" s="1">
        <f ca="1">IFERROR(__xludf.DUMMYFUNCTION("""COMPUTED_VALUE"""),54)</f>
        <v>54</v>
      </c>
      <c r="L56" s="1" t="str">
        <f ca="1">IFERROR(__xludf.DUMMYFUNCTION("""COMPUTED_VALUE"""),"Gillian Stevens")</f>
        <v>Gillian Stevens</v>
      </c>
      <c r="M56" s="1" t="str">
        <f ca="1">IFERROR(__xludf.DUMMYFUNCTION("""COMPUTED_VALUE"""),"F45")</f>
        <v>F45</v>
      </c>
      <c r="N56" s="1" t="str">
        <f ca="1">IFERROR(__xludf.DUMMYFUNCTION("""COMPUTED_VALUE"""),"Murlough AC")</f>
        <v>Murlough AC</v>
      </c>
      <c r="O56" s="3">
        <f ca="1">IFERROR(__xludf.DUMMYFUNCTION("""COMPUTED_VALUE"""),0.0162731481481481)</f>
        <v>1.6273148148148099E-2</v>
      </c>
      <c r="P56" s="1">
        <f ca="1">IFERROR(__xludf.DUMMYFUNCTION("""COMPUTED_VALUE"""),54)</f>
        <v>54</v>
      </c>
      <c r="Q56" s="1" t="str">
        <f ca="1">IFERROR(__xludf.DUMMYFUNCTION("""COMPUTED_VALUE"""),"Rónán Jones")</f>
        <v>Rónán Jones</v>
      </c>
      <c r="R56" s="1" t="str">
        <f ca="1">IFERROR(__xludf.DUMMYFUNCTION("""COMPUTED_VALUE"""),"U15B")</f>
        <v>U15B</v>
      </c>
      <c r="S56" s="1" t="str">
        <f ca="1">IFERROR(__xludf.DUMMYFUNCTION("""COMPUTED_VALUE"""),"St Michael's Enniskillen")</f>
        <v>St Michael's Enniskillen</v>
      </c>
      <c r="T56" s="3">
        <f ca="1">IFERROR(__xludf.DUMMYFUNCTION("""COMPUTED_VALUE"""),0.010162037037037)</f>
        <v>1.0162037037037001E-2</v>
      </c>
      <c r="U56" s="1">
        <f ca="1">IFERROR(__xludf.DUMMYFUNCTION("""COMPUTED_VALUE"""),54)</f>
        <v>54</v>
      </c>
      <c r="V56" s="1" t="str">
        <f ca="1">IFERROR(__xludf.DUMMYFUNCTION("""COMPUTED_VALUE"""),"Darren Irwin")</f>
        <v>Darren Irwin</v>
      </c>
      <c r="W56" s="1" t="str">
        <f ca="1">IFERROR(__xludf.DUMMYFUNCTION("""COMPUTED_VALUE"""),"M40")</f>
        <v>M40</v>
      </c>
      <c r="X56" s="1" t="str">
        <f ca="1">IFERROR(__xludf.DUMMYFUNCTION("""COMPUTED_VALUE"""),"Acorns AC")</f>
        <v>Acorns AC</v>
      </c>
      <c r="Y56" s="3">
        <f ca="1">IFERROR(__xludf.DUMMYFUNCTION("""COMPUTED_VALUE"""),0.0179513888888888)</f>
        <v>1.7951388888888802E-2</v>
      </c>
      <c r="Z56" s="1"/>
      <c r="AA56" s="1"/>
      <c r="AB56" s="1"/>
      <c r="AC56" s="1"/>
      <c r="AD56" s="1" t="str">
        <f ca="1">IFERROR(__xludf.DUMMYFUNCTION("""COMPUTED_VALUE""")," ")</f>
        <v xml:space="preserve"> </v>
      </c>
      <c r="AE56" s="1" t="str">
        <f ca="1">IFERROR(__xludf.DUMMYFUNCTION("""COMPUTED_VALUE""")," ")</f>
        <v xml:space="preserve"> </v>
      </c>
      <c r="AF56" s="1" t="str">
        <f ca="1">IFERROR(__xludf.DUMMYFUNCTION("""COMPUTED_VALUE""")," ")</f>
        <v xml:space="preserve"> </v>
      </c>
      <c r="AG56" s="1" t="str">
        <f ca="1">IFERROR(__xludf.DUMMYFUNCTION("""COMPUTED_VALUE""")," ")</f>
        <v xml:space="preserve"> </v>
      </c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</row>
    <row r="57" spans="1:62" x14ac:dyDescent="0.25">
      <c r="A57" s="1">
        <f ca="1">IFERROR(__xludf.DUMMYFUNCTION("""COMPUTED_VALUE"""),55)</f>
        <v>55</v>
      </c>
      <c r="B57" s="1" t="str">
        <f ca="1">IFERROR(__xludf.DUMMYFUNCTION("""COMPUTED_VALUE"""),"Jim Finlay")</f>
        <v>Jim Finlay</v>
      </c>
      <c r="C57" s="1" t="str">
        <f ca="1">IFERROR(__xludf.DUMMYFUNCTION("""COMPUTED_VALUE"""),"M55")</f>
        <v>M55</v>
      </c>
      <c r="D57" s="1" t="str">
        <f ca="1">IFERROR(__xludf.DUMMYFUNCTION("""COMPUTED_VALUE"""),"East Antrim Harriers")</f>
        <v>East Antrim Harriers</v>
      </c>
      <c r="E57" s="3">
        <f ca="1">IFERROR(__xludf.DUMMYFUNCTION("""COMPUTED_VALUE"""),0.0144097222222222)</f>
        <v>1.4409722222222201E-2</v>
      </c>
      <c r="F57" s="1">
        <f ca="1">IFERROR(__xludf.DUMMYFUNCTION("""COMPUTED_VALUE"""),55)</f>
        <v>55</v>
      </c>
      <c r="G57" s="1" t="str">
        <f ca="1">IFERROR(__xludf.DUMMYFUNCTION("""COMPUTED_VALUE"""),"Dáire O'Gorman")</f>
        <v>Dáire O'Gorman</v>
      </c>
      <c r="H57" s="1" t="str">
        <f ca="1">IFERROR(__xludf.DUMMYFUNCTION("""COMPUTED_VALUE"""),"U13B")</f>
        <v>U13B</v>
      </c>
      <c r="I57" s="1" t="str">
        <f ca="1">IFERROR(__xludf.DUMMYFUNCTION("""COMPUTED_VALUE"""),"Newcastle &amp; District AC")</f>
        <v>Newcastle &amp; District AC</v>
      </c>
      <c r="J57" s="3">
        <f ca="1">IFERROR(__xludf.DUMMYFUNCTION("""COMPUTED_VALUE"""),0.00530092592592592)</f>
        <v>5.3009259259259199E-3</v>
      </c>
      <c r="K57" s="1">
        <f ca="1">IFERROR(__xludf.DUMMYFUNCTION("""COMPUTED_VALUE"""),55)</f>
        <v>55</v>
      </c>
      <c r="L57" s="1" t="str">
        <f ca="1">IFERROR(__xludf.DUMMYFUNCTION("""COMPUTED_VALUE"""),"Wendy Findlay")</f>
        <v>Wendy Findlay</v>
      </c>
      <c r="M57" s="1" t="str">
        <f ca="1">IFERROR(__xludf.DUMMYFUNCTION("""COMPUTED_VALUE"""),"F50")</f>
        <v>F50</v>
      </c>
      <c r="N57" s="1" t="str">
        <f ca="1">IFERROR(__xludf.DUMMYFUNCTION("""COMPUTED_VALUE"""),"East Down AC")</f>
        <v>East Down AC</v>
      </c>
      <c r="O57" s="3">
        <f ca="1">IFERROR(__xludf.DUMMYFUNCTION("""COMPUTED_VALUE"""),0.0162847222222222)</f>
        <v>1.62847222222222E-2</v>
      </c>
      <c r="P57" s="1">
        <f ca="1">IFERROR(__xludf.DUMMYFUNCTION("""COMPUTED_VALUE"""),55)</f>
        <v>55</v>
      </c>
      <c r="Q57" s="1" t="str">
        <f ca="1">IFERROR(__xludf.DUMMYFUNCTION("""COMPUTED_VALUE"""),"Carys Bell")</f>
        <v>Carys Bell</v>
      </c>
      <c r="R57" s="1" t="str">
        <f ca="1">IFERROR(__xludf.DUMMYFUNCTION("""COMPUTED_VALUE"""),"U15G")</f>
        <v>U15G</v>
      </c>
      <c r="S57" s="1" t="str">
        <f ca="1">IFERROR(__xludf.DUMMYFUNCTION("""COMPUTED_VALUE"""),"Lagan Valley AC")</f>
        <v>Lagan Valley AC</v>
      </c>
      <c r="T57" s="3">
        <f ca="1">IFERROR(__xludf.DUMMYFUNCTION("""COMPUTED_VALUE"""),0.0101851851851851)</f>
        <v>1.0185185185185099E-2</v>
      </c>
      <c r="U57" s="1">
        <f ca="1">IFERROR(__xludf.DUMMYFUNCTION("""COMPUTED_VALUE"""),55)</f>
        <v>55</v>
      </c>
      <c r="V57" s="1" t="str">
        <f ca="1">IFERROR(__xludf.DUMMYFUNCTION("""COMPUTED_VALUE"""),"Andrew Bates")</f>
        <v>Andrew Bates</v>
      </c>
      <c r="W57" s="1" t="str">
        <f ca="1">IFERROR(__xludf.DUMMYFUNCTION("""COMPUTED_VALUE"""),"MO")</f>
        <v>MO</v>
      </c>
      <c r="X57" s="1" t="str">
        <f ca="1">IFERROR(__xludf.DUMMYFUNCTION("""COMPUTED_VALUE"""),"Orangegrove AC")</f>
        <v>Orangegrove AC</v>
      </c>
      <c r="Y57" s="3">
        <f ca="1">IFERROR(__xludf.DUMMYFUNCTION("""COMPUTED_VALUE"""),0.0179861111111111)</f>
        <v>1.7986111111111099E-2</v>
      </c>
      <c r="Z57" s="1"/>
      <c r="AA57" s="1"/>
      <c r="AB57" s="1"/>
      <c r="AC57" s="1"/>
      <c r="AD57" s="1" t="str">
        <f ca="1">IFERROR(__xludf.DUMMYFUNCTION("""COMPUTED_VALUE""")," ")</f>
        <v xml:space="preserve"> </v>
      </c>
      <c r="AE57" s="1" t="str">
        <f ca="1">IFERROR(__xludf.DUMMYFUNCTION("""COMPUTED_VALUE""")," ")</f>
        <v xml:space="preserve"> </v>
      </c>
      <c r="AF57" s="1" t="str">
        <f ca="1">IFERROR(__xludf.DUMMYFUNCTION("""COMPUTED_VALUE""")," ")</f>
        <v xml:space="preserve"> </v>
      </c>
      <c r="AG57" s="1" t="str">
        <f ca="1">IFERROR(__xludf.DUMMYFUNCTION("""COMPUTED_VALUE""")," ")</f>
        <v xml:space="preserve"> </v>
      </c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 t="str">
        <f ca="1">IFERROR(__xludf.DUMMYFUNCTION("""COMPUTED_VALUE"""),"No of complete teams")</f>
        <v>No of complete teams</v>
      </c>
      <c r="BJ57" s="1">
        <f ca="1">IFERROR(__xludf.DUMMYFUNCTION("""COMPUTED_VALUE"""),16)</f>
        <v>16</v>
      </c>
    </row>
    <row r="58" spans="1:62" x14ac:dyDescent="0.25">
      <c r="A58" s="1">
        <f ca="1">IFERROR(__xludf.DUMMYFUNCTION("""COMPUTED_VALUE"""),56)</f>
        <v>56</v>
      </c>
      <c r="B58" s="1" t="str">
        <f ca="1">IFERROR(__xludf.DUMMYFUNCTION("""COMPUTED_VALUE"""),"Philip Brines")</f>
        <v>Philip Brines</v>
      </c>
      <c r="C58" s="1" t="str">
        <f ca="1">IFERROR(__xludf.DUMMYFUNCTION("""COMPUTED_VALUE"""),"M60")</f>
        <v>M60</v>
      </c>
      <c r="D58" s="1" t="str">
        <f ca="1">IFERROR(__xludf.DUMMYFUNCTION("""COMPUTED_VALUE"""),"Lagan Valley AC")</f>
        <v>Lagan Valley AC</v>
      </c>
      <c r="E58" s="3">
        <f ca="1">IFERROR(__xludf.DUMMYFUNCTION("""COMPUTED_VALUE"""),0.0144212962962962)</f>
        <v>1.4421296296296199E-2</v>
      </c>
      <c r="F58" s="1">
        <f ca="1">IFERROR(__xludf.DUMMYFUNCTION("""COMPUTED_VALUE"""),56)</f>
        <v>56</v>
      </c>
      <c r="G58" s="1" t="str">
        <f ca="1">IFERROR(__xludf.DUMMYFUNCTION("""COMPUTED_VALUE"""),"Hollie Norris")</f>
        <v>Hollie Norris</v>
      </c>
      <c r="H58" s="1" t="str">
        <f ca="1">IFERROR(__xludf.DUMMYFUNCTION("""COMPUTED_VALUE"""),"U13G")</f>
        <v>U13G</v>
      </c>
      <c r="I58" s="1" t="str">
        <f ca="1">IFERROR(__xludf.DUMMYFUNCTION("""COMPUTED_VALUE"""),"Willowfield Harriers")</f>
        <v>Willowfield Harriers</v>
      </c>
      <c r="J58" s="3">
        <f ca="1">IFERROR(__xludf.DUMMYFUNCTION("""COMPUTED_VALUE"""),0.00549768518518518)</f>
        <v>5.4976851851851801E-3</v>
      </c>
      <c r="K58" s="1">
        <f ca="1">IFERROR(__xludf.DUMMYFUNCTION("""COMPUTED_VALUE"""),56)</f>
        <v>56</v>
      </c>
      <c r="L58" s="1" t="str">
        <f ca="1">IFERROR(__xludf.DUMMYFUNCTION("""COMPUTED_VALUE"""),"Helen McCartan")</f>
        <v>Helen McCartan</v>
      </c>
      <c r="M58" s="1" t="str">
        <f ca="1">IFERROR(__xludf.DUMMYFUNCTION("""COMPUTED_VALUE"""),"F45")</f>
        <v>F45</v>
      </c>
      <c r="N58" s="1" t="str">
        <f ca="1">IFERROR(__xludf.DUMMYFUNCTION("""COMPUTED_VALUE"""),"Dromore AC")</f>
        <v>Dromore AC</v>
      </c>
      <c r="O58" s="3">
        <f ca="1">IFERROR(__xludf.DUMMYFUNCTION("""COMPUTED_VALUE"""),0.0162847222222222)</f>
        <v>1.62847222222222E-2</v>
      </c>
      <c r="P58" s="1">
        <f ca="1">IFERROR(__xludf.DUMMYFUNCTION("""COMPUTED_VALUE"""),56)</f>
        <v>56</v>
      </c>
      <c r="Q58" s="1" t="str">
        <f ca="1">IFERROR(__xludf.DUMMYFUNCTION("""COMPUTED_VALUE"""),"Conor Mullen")</f>
        <v>Conor Mullen</v>
      </c>
      <c r="R58" s="1" t="str">
        <f ca="1">IFERROR(__xludf.DUMMYFUNCTION("""COMPUTED_VALUE"""),"U15B")</f>
        <v>U15B</v>
      </c>
      <c r="S58" s="1" t="str">
        <f ca="1">IFERROR(__xludf.DUMMYFUNCTION("""COMPUTED_VALUE"""),"St Michael's Enniskillen")</f>
        <v>St Michael's Enniskillen</v>
      </c>
      <c r="T58" s="3">
        <f ca="1">IFERROR(__xludf.DUMMYFUNCTION("""COMPUTED_VALUE"""),0.0102314814814814)</f>
        <v>1.02314814814814E-2</v>
      </c>
      <c r="U58" s="1">
        <f ca="1">IFERROR(__xludf.DUMMYFUNCTION("""COMPUTED_VALUE"""),56)</f>
        <v>56</v>
      </c>
      <c r="V58" s="1" t="str">
        <f ca="1">IFERROR(__xludf.DUMMYFUNCTION("""COMPUTED_VALUE"""),"Colin Bell")</f>
        <v>Colin Bell</v>
      </c>
      <c r="W58" s="1" t="str">
        <f ca="1">IFERROR(__xludf.DUMMYFUNCTION("""COMPUTED_VALUE"""),"M50")</f>
        <v>M50</v>
      </c>
      <c r="X58" s="1" t="str">
        <f ca="1">IFERROR(__xludf.DUMMYFUNCTION("""COMPUTED_VALUE"""),"Ballydrain Harriers")</f>
        <v>Ballydrain Harriers</v>
      </c>
      <c r="Y58" s="3">
        <f ca="1">IFERROR(__xludf.DUMMYFUNCTION("""COMPUTED_VALUE"""),0.0180092592592592)</f>
        <v>1.8009259259259201E-2</v>
      </c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>
        <f ca="1">IFERROR(__xludf.DUMMYFUNCTION("""COMPUTED_VALUE"""),1)</f>
        <v>1</v>
      </c>
      <c r="BI58" s="1" t="str">
        <f ca="1">IFERROR(__xludf.DUMMYFUNCTION("""COMPUTED_VALUE"""),"Newcastle &amp; District AC")</f>
        <v>Newcastle &amp; District AC</v>
      </c>
      <c r="BJ58" s="1">
        <f ca="1">IFERROR(__xludf.DUMMYFUNCTION("""COMPUTED_VALUE"""),31)</f>
        <v>31</v>
      </c>
    </row>
    <row r="59" spans="1:62" x14ac:dyDescent="0.25">
      <c r="A59" s="1">
        <f ca="1">IFERROR(__xludf.DUMMYFUNCTION("""COMPUTED_VALUE"""),57)</f>
        <v>57</v>
      </c>
      <c r="B59" s="1" t="str">
        <f ca="1">IFERROR(__xludf.DUMMYFUNCTION("""COMPUTED_VALUE"""),"Richard Edwards")</f>
        <v>Richard Edwards</v>
      </c>
      <c r="C59" s="1" t="str">
        <f ca="1">IFERROR(__xludf.DUMMYFUNCTION("""COMPUTED_VALUE"""),"M55")</f>
        <v>M55</v>
      </c>
      <c r="D59" s="1" t="str">
        <f ca="1">IFERROR(__xludf.DUMMYFUNCTION("""COMPUTED_VALUE"""),"Lagan Valley AC")</f>
        <v>Lagan Valley AC</v>
      </c>
      <c r="E59" s="3">
        <f ca="1">IFERROR(__xludf.DUMMYFUNCTION("""COMPUTED_VALUE"""),0.0145138888888888)</f>
        <v>1.45138888888888E-2</v>
      </c>
      <c r="F59" s="1">
        <f ca="1">IFERROR(__xludf.DUMMYFUNCTION("""COMPUTED_VALUE"""),57)</f>
        <v>57</v>
      </c>
      <c r="G59" s="1" t="str">
        <f ca="1">IFERROR(__xludf.DUMMYFUNCTION("""COMPUTED_VALUE"""),"Isabella Haylett")</f>
        <v>Isabella Haylett</v>
      </c>
      <c r="H59" s="1" t="str">
        <f ca="1">IFERROR(__xludf.DUMMYFUNCTION("""COMPUTED_VALUE"""),"U13G")</f>
        <v>U13G</v>
      </c>
      <c r="I59" s="1" t="str">
        <f ca="1">IFERROR(__xludf.DUMMYFUNCTION("""COMPUTED_VALUE"""),"Scrabo Striders")</f>
        <v>Scrabo Striders</v>
      </c>
      <c r="J59" s="3">
        <f ca="1">IFERROR(__xludf.DUMMYFUNCTION("""COMPUTED_VALUE"""),0.00559027777777777)</f>
        <v>5.5902777777777704E-3</v>
      </c>
      <c r="K59" s="1">
        <f ca="1">IFERROR(__xludf.DUMMYFUNCTION("""COMPUTED_VALUE"""),57)</f>
        <v>57</v>
      </c>
      <c r="L59" s="1" t="str">
        <f ca="1">IFERROR(__xludf.DUMMYFUNCTION("""COMPUTED_VALUE"""),"Celine Doran")</f>
        <v>Celine Doran</v>
      </c>
      <c r="M59" s="1" t="str">
        <f ca="1">IFERROR(__xludf.DUMMYFUNCTION("""COMPUTED_VALUE"""),"F35")</f>
        <v>F35</v>
      </c>
      <c r="N59" s="1" t="str">
        <f ca="1">IFERROR(__xludf.DUMMYFUNCTION("""COMPUTED_VALUE"""),"Armagh AC")</f>
        <v>Armagh AC</v>
      </c>
      <c r="O59" s="3">
        <f ca="1">IFERROR(__xludf.DUMMYFUNCTION("""COMPUTED_VALUE"""),0.0163194444444444)</f>
        <v>1.63194444444444E-2</v>
      </c>
      <c r="P59" s="1">
        <f ca="1">IFERROR(__xludf.DUMMYFUNCTION("""COMPUTED_VALUE"""),57)</f>
        <v>57</v>
      </c>
      <c r="Q59" s="1" t="str">
        <f ca="1">IFERROR(__xludf.DUMMYFUNCTION("""COMPUTED_VALUE"""),"Charlotte Evans")</f>
        <v>Charlotte Evans</v>
      </c>
      <c r="R59" s="1" t="str">
        <f ca="1">IFERROR(__xludf.DUMMYFUNCTION("""COMPUTED_VALUE"""),"U15G")</f>
        <v>U15G</v>
      </c>
      <c r="S59" s="1" t="str">
        <f ca="1">IFERROR(__xludf.DUMMYFUNCTION("""COMPUTED_VALUE"""),"Dromore AC")</f>
        <v>Dromore AC</v>
      </c>
      <c r="T59" s="3">
        <f ca="1">IFERROR(__xludf.DUMMYFUNCTION("""COMPUTED_VALUE"""),0.0102430555555555)</f>
        <v>1.02430555555555E-2</v>
      </c>
      <c r="U59" s="1">
        <f ca="1">IFERROR(__xludf.DUMMYFUNCTION("""COMPUTED_VALUE"""),57)</f>
        <v>57</v>
      </c>
      <c r="V59" s="1" t="str">
        <f ca="1">IFERROR(__xludf.DUMMYFUNCTION("""COMPUTED_VALUE"""),"Roy Roulston")</f>
        <v>Roy Roulston</v>
      </c>
      <c r="W59" s="1" t="str">
        <f ca="1">IFERROR(__xludf.DUMMYFUNCTION("""COMPUTED_VALUE"""),"M40")</f>
        <v>M40</v>
      </c>
      <c r="X59" s="1" t="str">
        <f ca="1">IFERROR(__xludf.DUMMYFUNCTION("""COMPUTED_VALUE"""),"Victoria Park &amp; Connswater AC")</f>
        <v>Victoria Park &amp; Connswater AC</v>
      </c>
      <c r="Y59" s="3">
        <f ca="1">IFERROR(__xludf.DUMMYFUNCTION("""COMPUTED_VALUE"""),0.0180208333333333)</f>
        <v>1.8020833333333298E-2</v>
      </c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>
        <f ca="1">IFERROR(__xludf.DUMMYFUNCTION("""COMPUTED_VALUE"""),2)</f>
        <v>2</v>
      </c>
      <c r="BI59" s="1" t="str">
        <f ca="1">IFERROR(__xludf.DUMMYFUNCTION("""COMPUTED_VALUE"""),"Armagh AC")</f>
        <v>Armagh AC</v>
      </c>
      <c r="BJ59" s="1">
        <f ca="1">IFERROR(__xludf.DUMMYFUNCTION("""COMPUTED_VALUE"""),59)</f>
        <v>59</v>
      </c>
    </row>
    <row r="60" spans="1:62" x14ac:dyDescent="0.25">
      <c r="A60" s="1">
        <f ca="1">IFERROR(__xludf.DUMMYFUNCTION("""COMPUTED_VALUE"""),58)</f>
        <v>58</v>
      </c>
      <c r="B60" s="1" t="str">
        <f ca="1">IFERROR(__xludf.DUMMYFUNCTION("""COMPUTED_VALUE"""),"James Murphy")</f>
        <v>James Murphy</v>
      </c>
      <c r="C60" s="1" t="str">
        <f ca="1">IFERROR(__xludf.DUMMYFUNCTION("""COMPUTED_VALUE"""),"M45")</f>
        <v>M45</v>
      </c>
      <c r="D60" s="1" t="str">
        <f ca="1">IFERROR(__xludf.DUMMYFUNCTION("""COMPUTED_VALUE"""),"Enniskillen Running Club")</f>
        <v>Enniskillen Running Club</v>
      </c>
      <c r="E60" s="3">
        <f ca="1">IFERROR(__xludf.DUMMYFUNCTION("""COMPUTED_VALUE"""),0.0145254629629629)</f>
        <v>1.45254629629629E-2</v>
      </c>
      <c r="F60" s="1">
        <f ca="1">IFERROR(__xludf.DUMMYFUNCTION("""COMPUTED_VALUE"""),58)</f>
        <v>58</v>
      </c>
      <c r="G60" s="1" t="str">
        <f ca="1">IFERROR(__xludf.DUMMYFUNCTION("""COMPUTED_VALUE"""),"Eva Coey")</f>
        <v>Eva Coey</v>
      </c>
      <c r="H60" s="1" t="str">
        <f ca="1">IFERROR(__xludf.DUMMYFUNCTION("""COMPUTED_VALUE"""),"U13G")</f>
        <v>U13G</v>
      </c>
      <c r="I60" s="1" t="str">
        <f ca="1">IFERROR(__xludf.DUMMYFUNCTION("""COMPUTED_VALUE"""),"Scrabo Striders")</f>
        <v>Scrabo Striders</v>
      </c>
      <c r="J60" s="3">
        <f ca="1">IFERROR(__xludf.DUMMYFUNCTION("""COMPUTED_VALUE"""),0.00567129629629629)</f>
        <v>5.6712962962962897E-3</v>
      </c>
      <c r="K60" s="1">
        <f ca="1">IFERROR(__xludf.DUMMYFUNCTION("""COMPUTED_VALUE"""),58)</f>
        <v>58</v>
      </c>
      <c r="L60" s="1" t="str">
        <f ca="1">IFERROR(__xludf.DUMMYFUNCTION("""COMPUTED_VALUE"""),"Patricia Shields")</f>
        <v>Patricia Shields</v>
      </c>
      <c r="M60" s="1" t="str">
        <f ca="1">IFERROR(__xludf.DUMMYFUNCTION("""COMPUTED_VALUE"""),"F55")</f>
        <v>F55</v>
      </c>
      <c r="N60" s="1" t="str">
        <f ca="1">IFERROR(__xludf.DUMMYFUNCTION("""COMPUTED_VALUE"""),"Murlough AC")</f>
        <v>Murlough AC</v>
      </c>
      <c r="O60" s="3">
        <f ca="1">IFERROR(__xludf.DUMMYFUNCTION("""COMPUTED_VALUE"""),0.0163425925925925)</f>
        <v>1.6342592592592499E-2</v>
      </c>
      <c r="P60" s="1">
        <f ca="1">IFERROR(__xludf.DUMMYFUNCTION("""COMPUTED_VALUE"""),58)</f>
        <v>58</v>
      </c>
      <c r="Q60" s="1" t="str">
        <f ca="1">IFERROR(__xludf.DUMMYFUNCTION("""COMPUTED_VALUE"""),"Treasa McConnell")</f>
        <v>Treasa McConnell</v>
      </c>
      <c r="R60" s="1" t="str">
        <f ca="1">IFERROR(__xludf.DUMMYFUNCTION("""COMPUTED_VALUE"""),"U15G")</f>
        <v>U15G</v>
      </c>
      <c r="S60" s="1" t="str">
        <f ca="1">IFERROR(__xludf.DUMMYFUNCTION("""COMPUTED_VALUE"""),"North Belfast Harriers")</f>
        <v>North Belfast Harriers</v>
      </c>
      <c r="T60" s="3">
        <f ca="1">IFERROR(__xludf.DUMMYFUNCTION("""COMPUTED_VALUE"""),0.0104050925925925)</f>
        <v>1.0405092592592501E-2</v>
      </c>
      <c r="U60" s="1">
        <f ca="1">IFERROR(__xludf.DUMMYFUNCTION("""COMPUTED_VALUE"""),58)</f>
        <v>58</v>
      </c>
      <c r="V60" s="1" t="str">
        <f ca="1">IFERROR(__xludf.DUMMYFUNCTION("""COMPUTED_VALUE"""),"Harry Miller")</f>
        <v>Harry Miller</v>
      </c>
      <c r="W60" s="1" t="str">
        <f ca="1">IFERROR(__xludf.DUMMYFUNCTION("""COMPUTED_VALUE"""),"MO")</f>
        <v>MO</v>
      </c>
      <c r="X60" s="1" t="str">
        <f ca="1">IFERROR(__xludf.DUMMYFUNCTION("""COMPUTED_VALUE"""),"Willowfield Harriers")</f>
        <v>Willowfield Harriers</v>
      </c>
      <c r="Y60" s="3">
        <f ca="1">IFERROR(__xludf.DUMMYFUNCTION("""COMPUTED_VALUE"""),0.0180439814814814)</f>
        <v>1.80439814814814E-2</v>
      </c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>
        <f ca="1">IFERROR(__xludf.DUMMYFUNCTION("""COMPUTED_VALUE"""),3)</f>
        <v>3</v>
      </c>
      <c r="BI60" s="1" t="str">
        <f ca="1">IFERROR(__xludf.DUMMYFUNCTION("""COMPUTED_VALUE"""),"Beechmount Harriers")</f>
        <v>Beechmount Harriers</v>
      </c>
      <c r="BJ60" s="1">
        <f ca="1">IFERROR(__xludf.DUMMYFUNCTION("""COMPUTED_VALUE"""),60)</f>
        <v>60</v>
      </c>
    </row>
    <row r="61" spans="1:62" x14ac:dyDescent="0.25">
      <c r="A61" s="1">
        <f ca="1">IFERROR(__xludf.DUMMYFUNCTION("""COMPUTED_VALUE"""),59)</f>
        <v>59</v>
      </c>
      <c r="B61" s="1" t="str">
        <f ca="1">IFERROR(__xludf.DUMMYFUNCTION("""COMPUTED_VALUE"""),"Chris Gilbert")</f>
        <v>Chris Gilbert</v>
      </c>
      <c r="C61" s="1" t="str">
        <f ca="1">IFERROR(__xludf.DUMMYFUNCTION("""COMPUTED_VALUE"""),"M45")</f>
        <v>M45</v>
      </c>
      <c r="D61" s="1" t="str">
        <f ca="1">IFERROR(__xludf.DUMMYFUNCTION("""COMPUTED_VALUE"""),"Belfast Running Club")</f>
        <v>Belfast Running Club</v>
      </c>
      <c r="E61" s="3">
        <f ca="1">IFERROR(__xludf.DUMMYFUNCTION("""COMPUTED_VALUE"""),0.0146064814814814)</f>
        <v>1.4606481481481399E-2</v>
      </c>
      <c r="F61" s="1">
        <f ca="1">IFERROR(__xludf.DUMMYFUNCTION("""COMPUTED_VALUE"""),59)</f>
        <v>59</v>
      </c>
      <c r="G61" s="1" t="str">
        <f ca="1">IFERROR(__xludf.DUMMYFUNCTION("""COMPUTED_VALUE"""),"Leon Moore")</f>
        <v>Leon Moore</v>
      </c>
      <c r="H61" s="1" t="str">
        <f ca="1">IFERROR(__xludf.DUMMYFUNCTION("""COMPUTED_VALUE"""),"U13B")</f>
        <v>U13B</v>
      </c>
      <c r="I61" s="1" t="str">
        <f ca="1">IFERROR(__xludf.DUMMYFUNCTION("""COMPUTED_VALUE"""),"St Michael's Enniskillen")</f>
        <v>St Michael's Enniskillen</v>
      </c>
      <c r="J61" s="3">
        <f ca="1">IFERROR(__xludf.DUMMYFUNCTION("""COMPUTED_VALUE"""),0.00575231481481481)</f>
        <v>5.7523148148148099E-3</v>
      </c>
      <c r="K61" s="1">
        <f ca="1">IFERROR(__xludf.DUMMYFUNCTION("""COMPUTED_VALUE"""),59)</f>
        <v>59</v>
      </c>
      <c r="L61" s="1" t="str">
        <f ca="1">IFERROR(__xludf.DUMMYFUNCTION("""COMPUTED_VALUE"""),"Katy Dunn")</f>
        <v>Katy Dunn</v>
      </c>
      <c r="M61" s="1" t="str">
        <f ca="1">IFERROR(__xludf.DUMMYFUNCTION("""COMPUTED_VALUE"""),"FO")</f>
        <v>FO</v>
      </c>
      <c r="N61" s="1" t="str">
        <f ca="1">IFERROR(__xludf.DUMMYFUNCTION("""COMPUTED_VALUE"""),"Lagan Valley AC")</f>
        <v>Lagan Valley AC</v>
      </c>
      <c r="O61" s="3">
        <f ca="1">IFERROR(__xludf.DUMMYFUNCTION("""COMPUTED_VALUE"""),0.0163425925925925)</f>
        <v>1.6342592592592499E-2</v>
      </c>
      <c r="P61" s="1">
        <f ca="1">IFERROR(__xludf.DUMMYFUNCTION("""COMPUTED_VALUE"""),59)</f>
        <v>59</v>
      </c>
      <c r="Q61" s="1" t="str">
        <f ca="1">IFERROR(__xludf.DUMMYFUNCTION("""COMPUTED_VALUE"""),"Amy McCartan")</f>
        <v>Amy McCartan</v>
      </c>
      <c r="R61" s="1" t="str">
        <f ca="1">IFERROR(__xludf.DUMMYFUNCTION("""COMPUTED_VALUE"""),"U15G")</f>
        <v>U15G</v>
      </c>
      <c r="S61" s="1" t="str">
        <f ca="1">IFERROR(__xludf.DUMMYFUNCTION("""COMPUTED_VALUE"""),"Dromore AC")</f>
        <v>Dromore AC</v>
      </c>
      <c r="T61" s="3">
        <f ca="1">IFERROR(__xludf.DUMMYFUNCTION("""COMPUTED_VALUE"""),0.0105671296296296)</f>
        <v>1.05671296296296E-2</v>
      </c>
      <c r="U61" s="1">
        <f ca="1">IFERROR(__xludf.DUMMYFUNCTION("""COMPUTED_VALUE"""),59)</f>
        <v>59</v>
      </c>
      <c r="V61" s="1" t="str">
        <f ca="1">IFERROR(__xludf.DUMMYFUNCTION("""COMPUTED_VALUE"""),"Aaron McAuley")</f>
        <v>Aaron McAuley</v>
      </c>
      <c r="W61" s="1" t="str">
        <f ca="1">IFERROR(__xludf.DUMMYFUNCTION("""COMPUTED_VALUE"""),"M40")</f>
        <v>M40</v>
      </c>
      <c r="X61" s="1" t="str">
        <f ca="1">IFERROR(__xludf.DUMMYFUNCTION("""COMPUTED_VALUE"""),"North Down AC")</f>
        <v>North Down AC</v>
      </c>
      <c r="Y61" s="3">
        <f ca="1">IFERROR(__xludf.DUMMYFUNCTION("""COMPUTED_VALUE"""),0.0180671296296296)</f>
        <v>1.80671296296296E-2</v>
      </c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>
        <f ca="1">IFERROR(__xludf.DUMMYFUNCTION("""COMPUTED_VALUE"""),4)</f>
        <v>4</v>
      </c>
      <c r="BI61" s="1" t="str">
        <f ca="1">IFERROR(__xludf.DUMMYFUNCTION("""COMPUTED_VALUE"""),"North Down AC")</f>
        <v>North Down AC</v>
      </c>
      <c r="BJ61" s="1">
        <f ca="1">IFERROR(__xludf.DUMMYFUNCTION("""COMPUTED_VALUE"""),103)</f>
        <v>103</v>
      </c>
    </row>
    <row r="62" spans="1:62" x14ac:dyDescent="0.25">
      <c r="A62" s="1">
        <f ca="1">IFERROR(__xludf.DUMMYFUNCTION("""COMPUTED_VALUE"""),60)</f>
        <v>60</v>
      </c>
      <c r="B62" s="1" t="str">
        <f ca="1">IFERROR(__xludf.DUMMYFUNCTION("""COMPUTED_VALUE"""),"Cormac Bradley")</f>
        <v>Cormac Bradley</v>
      </c>
      <c r="C62" s="1" t="str">
        <f ca="1">IFERROR(__xludf.DUMMYFUNCTION("""COMPUTED_VALUE"""),"M35")</f>
        <v>M35</v>
      </c>
      <c r="D62" s="1"/>
      <c r="E62" s="3">
        <f ca="1">IFERROR(__xludf.DUMMYFUNCTION("""COMPUTED_VALUE"""),0.0146180555555555)</f>
        <v>1.46180555555555E-2</v>
      </c>
      <c r="F62" s="1">
        <f ca="1">IFERROR(__xludf.DUMMYFUNCTION("""COMPUTED_VALUE"""),60)</f>
        <v>60</v>
      </c>
      <c r="G62" s="1" t="str">
        <f ca="1">IFERROR(__xludf.DUMMYFUNCTION("""COMPUTED_VALUE"""),"Kelsey Murray")</f>
        <v>Kelsey Murray</v>
      </c>
      <c r="H62" s="1" t="str">
        <f ca="1">IFERROR(__xludf.DUMMYFUNCTION("""COMPUTED_VALUE"""),"U13G")</f>
        <v>U13G</v>
      </c>
      <c r="I62" s="1" t="str">
        <f ca="1">IFERROR(__xludf.DUMMYFUNCTION("""COMPUTED_VALUE"""),"East Down AC")</f>
        <v>East Down AC</v>
      </c>
      <c r="J62" s="3">
        <f ca="1">IFERROR(__xludf.DUMMYFUNCTION("""COMPUTED_VALUE"""),0.00581018518518518)</f>
        <v>5.8101851851851804E-3</v>
      </c>
      <c r="K62" s="1">
        <f ca="1">IFERROR(__xludf.DUMMYFUNCTION("""COMPUTED_VALUE"""),60)</f>
        <v>60</v>
      </c>
      <c r="L62" s="1" t="str">
        <f ca="1">IFERROR(__xludf.DUMMYFUNCTION("""COMPUTED_VALUE"""),"Aideen Hanna")</f>
        <v>Aideen Hanna</v>
      </c>
      <c r="M62" s="1" t="str">
        <f ca="1">IFERROR(__xludf.DUMMYFUNCTION("""COMPUTED_VALUE"""),"F40")</f>
        <v>F40</v>
      </c>
      <c r="N62" s="1" t="str">
        <f ca="1">IFERROR(__xludf.DUMMYFUNCTION("""COMPUTED_VALUE"""),"Jog Lisburn Running Club")</f>
        <v>Jog Lisburn Running Club</v>
      </c>
      <c r="O62" s="3">
        <f ca="1">IFERROR(__xludf.DUMMYFUNCTION("""COMPUTED_VALUE"""),0.0163541666666666)</f>
        <v>1.63541666666666E-2</v>
      </c>
      <c r="P62" s="1">
        <f ca="1">IFERROR(__xludf.DUMMYFUNCTION("""COMPUTED_VALUE"""),60)</f>
        <v>60</v>
      </c>
      <c r="Q62" s="1" t="str">
        <f ca="1">IFERROR(__xludf.DUMMYFUNCTION("""COMPUTED_VALUE"""),"Blathnald Loughran")</f>
        <v>Blathnald Loughran</v>
      </c>
      <c r="R62" s="1" t="str">
        <f ca="1">IFERROR(__xludf.DUMMYFUNCTION("""COMPUTED_VALUE"""),"U17G")</f>
        <v>U17G</v>
      </c>
      <c r="S62" s="1" t="str">
        <f ca="1">IFERROR(__xludf.DUMMYFUNCTION("""COMPUTED_VALUE"""),"Beechmount Harriers")</f>
        <v>Beechmount Harriers</v>
      </c>
      <c r="T62" s="3">
        <f ca="1">IFERROR(__xludf.DUMMYFUNCTION("""COMPUTED_VALUE"""),0.0106018518518518)</f>
        <v>1.06018518518518E-2</v>
      </c>
      <c r="U62" s="1">
        <f ca="1">IFERROR(__xludf.DUMMYFUNCTION("""COMPUTED_VALUE"""),60)</f>
        <v>60</v>
      </c>
      <c r="V62" s="1" t="str">
        <f ca="1">IFERROR(__xludf.DUMMYFUNCTION("""COMPUTED_VALUE"""),"Dan McCurdy")</f>
        <v>Dan McCurdy</v>
      </c>
      <c r="W62" s="1" t="str">
        <f ca="1">IFERROR(__xludf.DUMMYFUNCTION("""COMPUTED_VALUE"""),"MJ")</f>
        <v>MJ</v>
      </c>
      <c r="X62" s="1" t="str">
        <f ca="1">IFERROR(__xludf.DUMMYFUNCTION("""COMPUTED_VALUE"""),"Lagan Valley AC")</f>
        <v>Lagan Valley AC</v>
      </c>
      <c r="Y62" s="3">
        <f ca="1">IFERROR(__xludf.DUMMYFUNCTION("""COMPUTED_VALUE"""),0.0181481481481481)</f>
        <v>1.8148148148148101E-2</v>
      </c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>
        <f ca="1">IFERROR(__xludf.DUMMYFUNCTION("""COMPUTED_VALUE"""),5)</f>
        <v>5</v>
      </c>
      <c r="BI62" s="1" t="str">
        <f ca="1">IFERROR(__xludf.DUMMYFUNCTION("""COMPUTED_VALUE"""),"Ballymena Runners")</f>
        <v>Ballymena Runners</v>
      </c>
      <c r="BJ62" s="1">
        <f ca="1">IFERROR(__xludf.DUMMYFUNCTION("""COMPUTED_VALUE"""),109)</f>
        <v>109</v>
      </c>
    </row>
    <row r="63" spans="1:62" x14ac:dyDescent="0.25">
      <c r="A63" s="1">
        <f ca="1">IFERROR(__xludf.DUMMYFUNCTION("""COMPUTED_VALUE"""),61)</f>
        <v>61</v>
      </c>
      <c r="B63" s="1" t="str">
        <f ca="1">IFERROR(__xludf.DUMMYFUNCTION("""COMPUTED_VALUE"""),"Gerard Adair")</f>
        <v>Gerard Adair</v>
      </c>
      <c r="C63" s="1" t="str">
        <f ca="1">IFERROR(__xludf.DUMMYFUNCTION("""COMPUTED_VALUE"""),"M45")</f>
        <v>M45</v>
      </c>
      <c r="D63" s="1" t="str">
        <f ca="1">IFERROR(__xludf.DUMMYFUNCTION("""COMPUTED_VALUE"""),"North Down AC")</f>
        <v>North Down AC</v>
      </c>
      <c r="E63" s="3">
        <f ca="1">IFERROR(__xludf.DUMMYFUNCTION("""COMPUTED_VALUE"""),0.0146296296296296)</f>
        <v>1.46296296296296E-2</v>
      </c>
      <c r="F63" s="1">
        <f ca="1">IFERROR(__xludf.DUMMYFUNCTION("""COMPUTED_VALUE"""),61)</f>
        <v>61</v>
      </c>
      <c r="G63" s="1" t="str">
        <f ca="1">IFERROR(__xludf.DUMMYFUNCTION("""COMPUTED_VALUE"""),"Sinead Ohare")</f>
        <v>Sinead Ohare</v>
      </c>
      <c r="H63" s="1" t="str">
        <f ca="1">IFERROR(__xludf.DUMMYFUNCTION("""COMPUTED_VALUE"""),"U13G")</f>
        <v>U13G</v>
      </c>
      <c r="I63" s="1" t="str">
        <f ca="1">IFERROR(__xludf.DUMMYFUNCTION("""COMPUTED_VALUE"""),"Mallusk Harriers")</f>
        <v>Mallusk Harriers</v>
      </c>
      <c r="J63" s="3">
        <f ca="1">IFERROR(__xludf.DUMMYFUNCTION("""COMPUTED_VALUE"""),0.00587962962962963)</f>
        <v>5.8796296296296296E-3</v>
      </c>
      <c r="K63" s="1">
        <f ca="1">IFERROR(__xludf.DUMMYFUNCTION("""COMPUTED_VALUE"""),61)</f>
        <v>61</v>
      </c>
      <c r="L63" s="1" t="str">
        <f ca="1">IFERROR(__xludf.DUMMYFUNCTION("""COMPUTED_VALUE"""),"Diane McKee")</f>
        <v>Diane McKee</v>
      </c>
      <c r="M63" s="1" t="str">
        <f ca="1">IFERROR(__xludf.DUMMYFUNCTION("""COMPUTED_VALUE"""),"F50")</f>
        <v>F50</v>
      </c>
      <c r="N63" s="1" t="str">
        <f ca="1">IFERROR(__xludf.DUMMYFUNCTION("""COMPUTED_VALUE"""),"Dromore AC")</f>
        <v>Dromore AC</v>
      </c>
      <c r="O63" s="3">
        <f ca="1">IFERROR(__xludf.DUMMYFUNCTION("""COMPUTED_VALUE"""),0.0163541666666666)</f>
        <v>1.63541666666666E-2</v>
      </c>
      <c r="P63" s="1">
        <f ca="1">IFERROR(__xludf.DUMMYFUNCTION("""COMPUTED_VALUE"""),61)</f>
        <v>61</v>
      </c>
      <c r="Q63" s="1" t="str">
        <f ca="1">IFERROR(__xludf.DUMMYFUNCTION("""COMPUTED_VALUE"""),"Lucy Magreehan")</f>
        <v>Lucy Magreehan</v>
      </c>
      <c r="R63" s="1" t="str">
        <f ca="1">IFERROR(__xludf.DUMMYFUNCTION("""COMPUTED_VALUE"""),"U15G")</f>
        <v>U15G</v>
      </c>
      <c r="S63" s="1" t="str">
        <f ca="1">IFERROR(__xludf.DUMMYFUNCTION("""COMPUTED_VALUE"""),"North Down AC")</f>
        <v>North Down AC</v>
      </c>
      <c r="T63" s="3">
        <f ca="1">IFERROR(__xludf.DUMMYFUNCTION("""COMPUTED_VALUE"""),0.0107638888888888)</f>
        <v>1.07638888888888E-2</v>
      </c>
      <c r="U63" s="1">
        <f ca="1">IFERROR(__xludf.DUMMYFUNCTION("""COMPUTED_VALUE"""),61)</f>
        <v>61</v>
      </c>
      <c r="V63" s="1" t="str">
        <f ca="1">IFERROR(__xludf.DUMMYFUNCTION("""COMPUTED_VALUE"""),"Daryl Sempey")</f>
        <v>Daryl Sempey</v>
      </c>
      <c r="W63" s="1" t="str">
        <f ca="1">IFERROR(__xludf.DUMMYFUNCTION("""COMPUTED_VALUE"""),"MO")</f>
        <v>MO</v>
      </c>
      <c r="X63" s="1" t="str">
        <f ca="1">IFERROR(__xludf.DUMMYFUNCTION("""COMPUTED_VALUE"""),"Ballymena &amp; Antrim AC")</f>
        <v>Ballymena &amp; Antrim AC</v>
      </c>
      <c r="Y63" s="3">
        <f ca="1">IFERROR(__xludf.DUMMYFUNCTION("""COMPUTED_VALUE"""),0.0181481481481481)</f>
        <v>1.8148148148148101E-2</v>
      </c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>
        <f ca="1">IFERROR(__xludf.DUMMYFUNCTION("""COMPUTED_VALUE"""),6)</f>
        <v>6</v>
      </c>
      <c r="BI63" s="1" t="str">
        <f ca="1">IFERROR(__xludf.DUMMYFUNCTION("""COMPUTED_VALUE"""),"Lagan Valley AC")</f>
        <v>Lagan Valley AC</v>
      </c>
      <c r="BJ63" s="1">
        <f ca="1">IFERROR(__xludf.DUMMYFUNCTION("""COMPUTED_VALUE"""),124)</f>
        <v>124</v>
      </c>
    </row>
    <row r="64" spans="1:62" x14ac:dyDescent="0.25">
      <c r="A64" s="1">
        <f ca="1">IFERROR(__xludf.DUMMYFUNCTION("""COMPUTED_VALUE"""),62)</f>
        <v>62</v>
      </c>
      <c r="B64" s="1" t="str">
        <f ca="1">IFERROR(__xludf.DUMMYFUNCTION("""COMPUTED_VALUE"""),"Joe Gallagher")</f>
        <v>Joe Gallagher</v>
      </c>
      <c r="C64" s="1" t="str">
        <f ca="1">IFERROR(__xludf.DUMMYFUNCTION("""COMPUTED_VALUE"""),"M60")</f>
        <v>M60</v>
      </c>
      <c r="D64" s="1" t="str">
        <f ca="1">IFERROR(__xludf.DUMMYFUNCTION("""COMPUTED_VALUE"""),"North Belfast Harriers")</f>
        <v>North Belfast Harriers</v>
      </c>
      <c r="E64" s="3">
        <f ca="1">IFERROR(__xludf.DUMMYFUNCTION("""COMPUTED_VALUE"""),0.0146875)</f>
        <v>1.4687499999999999E-2</v>
      </c>
      <c r="F64" s="1">
        <f ca="1">IFERROR(__xludf.DUMMYFUNCTION("""COMPUTED_VALUE"""),62)</f>
        <v>62</v>
      </c>
      <c r="G64" s="1" t="str">
        <f ca="1">IFERROR(__xludf.DUMMYFUNCTION("""COMPUTED_VALUE"""),"Katy Hendron")</f>
        <v>Katy Hendron</v>
      </c>
      <c r="H64" s="1" t="str">
        <f ca="1">IFERROR(__xludf.DUMMYFUNCTION("""COMPUTED_VALUE"""),"U13G")</f>
        <v>U13G</v>
      </c>
      <c r="I64" s="1" t="str">
        <f ca="1">IFERROR(__xludf.DUMMYFUNCTION("""COMPUTED_VALUE"""),"Willowfield Harriers")</f>
        <v>Willowfield Harriers</v>
      </c>
      <c r="J64" s="3">
        <f ca="1">IFERROR(__xludf.DUMMYFUNCTION("""COMPUTED_VALUE"""),0.00622685185185185)</f>
        <v>6.2268518518518497E-3</v>
      </c>
      <c r="K64" s="1">
        <f ca="1">IFERROR(__xludf.DUMMYFUNCTION("""COMPUTED_VALUE"""),62)</f>
        <v>62</v>
      </c>
      <c r="L64" s="1" t="str">
        <f ca="1">IFERROR(__xludf.DUMMYFUNCTION("""COMPUTED_VALUE"""),"Denise Doherty")</f>
        <v>Denise Doherty</v>
      </c>
      <c r="M64" s="1" t="str">
        <f ca="1">IFERROR(__xludf.DUMMYFUNCTION("""COMPUTED_VALUE"""),"F50")</f>
        <v>F50</v>
      </c>
      <c r="N64" s="1" t="str">
        <f ca="1">IFERROR(__xludf.DUMMYFUNCTION("""COMPUTED_VALUE"""),"Ballymena Runners")</f>
        <v>Ballymena Runners</v>
      </c>
      <c r="O64" s="3">
        <f ca="1">IFERROR(__xludf.DUMMYFUNCTION("""COMPUTED_VALUE"""),0.0163888888888888)</f>
        <v>1.63888888888888E-2</v>
      </c>
      <c r="P64" s="1">
        <f ca="1">IFERROR(__xludf.DUMMYFUNCTION("""COMPUTED_VALUE"""),62)</f>
        <v>62</v>
      </c>
      <c r="Q64" s="1" t="str">
        <f ca="1">IFERROR(__xludf.DUMMYFUNCTION("""COMPUTED_VALUE"""),"Anna Moran")</f>
        <v>Anna Moran</v>
      </c>
      <c r="R64" s="1" t="str">
        <f ca="1">IFERROR(__xludf.DUMMYFUNCTION("""COMPUTED_VALUE"""),"U15G")</f>
        <v>U15G</v>
      </c>
      <c r="S64" s="1" t="str">
        <f ca="1">IFERROR(__xludf.DUMMYFUNCTION("""COMPUTED_VALUE"""),"North Down AC")</f>
        <v>North Down AC</v>
      </c>
      <c r="T64" s="3">
        <f ca="1">IFERROR(__xludf.DUMMYFUNCTION("""COMPUTED_VALUE"""),0.010787037037037)</f>
        <v>1.0787037037037E-2</v>
      </c>
      <c r="U64" s="1">
        <f ca="1">IFERROR(__xludf.DUMMYFUNCTION("""COMPUTED_VALUE"""),62)</f>
        <v>62</v>
      </c>
      <c r="V64" s="1" t="str">
        <f ca="1">IFERROR(__xludf.DUMMYFUNCTION("""COMPUTED_VALUE"""),"Barry Logue")</f>
        <v>Barry Logue</v>
      </c>
      <c r="W64" s="1" t="str">
        <f ca="1">IFERROR(__xludf.DUMMYFUNCTION("""COMPUTED_VALUE"""),"M45")</f>
        <v>M45</v>
      </c>
      <c r="X64" s="1" t="str">
        <f ca="1">IFERROR(__xludf.DUMMYFUNCTION("""COMPUTED_VALUE"""),"Victoria Park &amp; Connswater AC")</f>
        <v>Victoria Park &amp; Connswater AC</v>
      </c>
      <c r="Y64" s="3">
        <f ca="1">IFERROR(__xludf.DUMMYFUNCTION("""COMPUTED_VALUE"""),0.0181712962962962)</f>
        <v>1.8171296296296199E-2</v>
      </c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>
        <f ca="1">IFERROR(__xludf.DUMMYFUNCTION("""COMPUTED_VALUE"""),7)</f>
        <v>7</v>
      </c>
      <c r="BI64" s="1" t="str">
        <f ca="1">IFERROR(__xludf.DUMMYFUNCTION("""COMPUTED_VALUE"""),"Ballydrain Harriers")</f>
        <v>Ballydrain Harriers</v>
      </c>
      <c r="BJ64" s="1">
        <f ca="1">IFERROR(__xludf.DUMMYFUNCTION("""COMPUTED_VALUE"""),159)</f>
        <v>159</v>
      </c>
    </row>
    <row r="65" spans="1:62" x14ac:dyDescent="0.25">
      <c r="A65" s="1">
        <f ca="1">IFERROR(__xludf.DUMMYFUNCTION("""COMPUTED_VALUE"""),63)</f>
        <v>63</v>
      </c>
      <c r="B65" s="1" t="str">
        <f ca="1">IFERROR(__xludf.DUMMYFUNCTION("""COMPUTED_VALUE"""),"Mark O'Connor")</f>
        <v>Mark O'Connor</v>
      </c>
      <c r="C65" s="1" t="str">
        <f ca="1">IFERROR(__xludf.DUMMYFUNCTION("""COMPUTED_VALUE"""),"M50")</f>
        <v>M50</v>
      </c>
      <c r="D65" s="1" t="str">
        <f ca="1">IFERROR(__xludf.DUMMYFUNCTION("""COMPUTED_VALUE"""),"East Down AC")</f>
        <v>East Down AC</v>
      </c>
      <c r="E65" s="3">
        <f ca="1">IFERROR(__xludf.DUMMYFUNCTION("""COMPUTED_VALUE"""),0.0147106481481481)</f>
        <v>1.4710648148148099E-2</v>
      </c>
      <c r="F65" s="1">
        <f ca="1">IFERROR(__xludf.DUMMYFUNCTION("""COMPUTED_VALUE"""),63)</f>
        <v>63</v>
      </c>
      <c r="G65" s="1" t="str">
        <f ca="1">IFERROR(__xludf.DUMMYFUNCTION("""COMPUTED_VALUE"""),"Niamh Lemon")</f>
        <v>Niamh Lemon</v>
      </c>
      <c r="H65" s="1" t="str">
        <f ca="1">IFERROR(__xludf.DUMMYFUNCTION("""COMPUTED_VALUE"""),"U13G")</f>
        <v>U13G</v>
      </c>
      <c r="I65" s="1" t="str">
        <f ca="1">IFERROR(__xludf.DUMMYFUNCTION("""COMPUTED_VALUE"""),"Willowfield Harriers")</f>
        <v>Willowfield Harriers</v>
      </c>
      <c r="J65" s="3">
        <f ca="1">IFERROR(__xludf.DUMMYFUNCTION("""COMPUTED_VALUE"""),0.00623842592592592)</f>
        <v>6.2384259259259198E-3</v>
      </c>
      <c r="K65" s="1">
        <f ca="1">IFERROR(__xludf.DUMMYFUNCTION("""COMPUTED_VALUE"""),63)</f>
        <v>63</v>
      </c>
      <c r="L65" s="1" t="str">
        <f ca="1">IFERROR(__xludf.DUMMYFUNCTION("""COMPUTED_VALUE"""),"Alexandra McLaughlin")</f>
        <v>Alexandra McLaughlin</v>
      </c>
      <c r="M65" s="1" t="str">
        <f ca="1">IFERROR(__xludf.DUMMYFUNCTION("""COMPUTED_VALUE"""),"F40")</f>
        <v>F40</v>
      </c>
      <c r="N65" s="1" t="str">
        <f ca="1">IFERROR(__xludf.DUMMYFUNCTION("""COMPUTED_VALUE"""),"County Antrim Harriers")</f>
        <v>County Antrim Harriers</v>
      </c>
      <c r="O65" s="3">
        <f ca="1">IFERROR(__xludf.DUMMYFUNCTION("""COMPUTED_VALUE"""),0.016412037037037)</f>
        <v>1.6412037037036999E-2</v>
      </c>
      <c r="P65" s="1">
        <f ca="1">IFERROR(__xludf.DUMMYFUNCTION("""COMPUTED_VALUE"""),63)</f>
        <v>63</v>
      </c>
      <c r="Q65" s="1" t="str">
        <f ca="1">IFERROR(__xludf.DUMMYFUNCTION("""COMPUTED_VALUE"""),"Emily Barry")</f>
        <v>Emily Barry</v>
      </c>
      <c r="R65" s="1" t="str">
        <f ca="1">IFERROR(__xludf.DUMMYFUNCTION("""COMPUTED_VALUE"""),"U15G")</f>
        <v>U15G</v>
      </c>
      <c r="S65" s="1" t="str">
        <f ca="1">IFERROR(__xludf.DUMMYFUNCTION("""COMPUTED_VALUE"""),"North Down AC")</f>
        <v>North Down AC</v>
      </c>
      <c r="T65" s="3">
        <f ca="1">IFERROR(__xludf.DUMMYFUNCTION("""COMPUTED_VALUE"""),0.0108101851851851)</f>
        <v>1.08101851851851E-2</v>
      </c>
      <c r="U65" s="1">
        <f ca="1">IFERROR(__xludf.DUMMYFUNCTION("""COMPUTED_VALUE"""),63)</f>
        <v>63</v>
      </c>
      <c r="V65" s="1" t="str">
        <f ca="1">IFERROR(__xludf.DUMMYFUNCTION("""COMPUTED_VALUE"""),"Calum Irvine")</f>
        <v>Calum Irvine</v>
      </c>
      <c r="W65" s="1" t="str">
        <f ca="1">IFERROR(__xludf.DUMMYFUNCTION("""COMPUTED_VALUE"""),"MO")</f>
        <v>MO</v>
      </c>
      <c r="X65" s="1" t="str">
        <f ca="1">IFERROR(__xludf.DUMMYFUNCTION("""COMPUTED_VALUE"""),"Victoria Park &amp; Connswater AC")</f>
        <v>Victoria Park &amp; Connswater AC</v>
      </c>
      <c r="Y65" s="3">
        <f ca="1">IFERROR(__xludf.DUMMYFUNCTION("""COMPUTED_VALUE"""),0.0181828703703703)</f>
        <v>1.8182870370370301E-2</v>
      </c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>
        <f ca="1">IFERROR(__xludf.DUMMYFUNCTION("""COMPUTED_VALUE"""),8)</f>
        <v>8</v>
      </c>
      <c r="BI65" s="1" t="str">
        <f ca="1">IFERROR(__xludf.DUMMYFUNCTION("""COMPUTED_VALUE"""),"North Belfast Harriers")</f>
        <v>North Belfast Harriers</v>
      </c>
      <c r="BJ65" s="1">
        <f ca="1">IFERROR(__xludf.DUMMYFUNCTION("""COMPUTED_VALUE"""),183)</f>
        <v>183</v>
      </c>
    </row>
    <row r="66" spans="1:62" x14ac:dyDescent="0.25">
      <c r="A66" s="1">
        <f ca="1">IFERROR(__xludf.DUMMYFUNCTION("""COMPUTED_VALUE"""),64)</f>
        <v>64</v>
      </c>
      <c r="B66" s="1" t="str">
        <f ca="1">IFERROR(__xludf.DUMMYFUNCTION("""COMPUTED_VALUE"""),"Karl Dines")</f>
        <v>Karl Dines</v>
      </c>
      <c r="C66" s="1" t="str">
        <f ca="1">IFERROR(__xludf.DUMMYFUNCTION("""COMPUTED_VALUE"""),"M60")</f>
        <v>M60</v>
      </c>
      <c r="D66" s="1" t="str">
        <f ca="1">IFERROR(__xludf.DUMMYFUNCTION("""COMPUTED_VALUE"""),"Willowfield Harriers")</f>
        <v>Willowfield Harriers</v>
      </c>
      <c r="E66" s="3">
        <f ca="1">IFERROR(__xludf.DUMMYFUNCTION("""COMPUTED_VALUE"""),0.0148726851851851)</f>
        <v>1.48726851851851E-2</v>
      </c>
      <c r="F66" s="1" t="str">
        <f ca="1">IFERROR(__xludf.DUMMYFUNCTION("""COMPUTED_VALUE""")," ")</f>
        <v xml:space="preserve"> </v>
      </c>
      <c r="G66" s="1" t="str">
        <f ca="1">IFERROR(__xludf.DUMMYFUNCTION("""COMPUTED_VALUE""")," ")</f>
        <v xml:space="preserve"> </v>
      </c>
      <c r="H66" s="1" t="str">
        <f ca="1">IFERROR(__xludf.DUMMYFUNCTION("""COMPUTED_VALUE""")," ")</f>
        <v xml:space="preserve"> </v>
      </c>
      <c r="I66" s="1" t="str">
        <f ca="1">IFERROR(__xludf.DUMMYFUNCTION("""COMPUTED_VALUE""")," ")</f>
        <v xml:space="preserve"> </v>
      </c>
      <c r="J66" s="1" t="str">
        <f ca="1">IFERROR(__xludf.DUMMYFUNCTION("""COMPUTED_VALUE""")," ")</f>
        <v xml:space="preserve"> </v>
      </c>
      <c r="K66" s="1">
        <f ca="1">IFERROR(__xludf.DUMMYFUNCTION("""COMPUTED_VALUE"""),64)</f>
        <v>64</v>
      </c>
      <c r="L66" s="1" t="str">
        <f ca="1">IFERROR(__xludf.DUMMYFUNCTION("""COMPUTED_VALUE"""),"Kathryn Aiken")</f>
        <v>Kathryn Aiken</v>
      </c>
      <c r="M66" s="1" t="str">
        <f ca="1">IFERROR(__xludf.DUMMYFUNCTION("""COMPUTED_VALUE"""),"F45")</f>
        <v>F45</v>
      </c>
      <c r="N66" s="1" t="str">
        <f ca="1">IFERROR(__xludf.DUMMYFUNCTION("""COMPUTED_VALUE"""),"Dromore AC")</f>
        <v>Dromore AC</v>
      </c>
      <c r="O66" s="3">
        <f ca="1">IFERROR(__xludf.DUMMYFUNCTION("""COMPUTED_VALUE"""),0.0164236111111111)</f>
        <v>1.6423611111111101E-2</v>
      </c>
      <c r="P66" s="1">
        <f ca="1">IFERROR(__xludf.DUMMYFUNCTION("""COMPUTED_VALUE"""),64)</f>
        <v>64</v>
      </c>
      <c r="Q66" s="1" t="str">
        <f ca="1">IFERROR(__xludf.DUMMYFUNCTION("""COMPUTED_VALUE"""),"Riley Hannah")</f>
        <v>Riley Hannah</v>
      </c>
      <c r="R66" s="1" t="str">
        <f ca="1">IFERROR(__xludf.DUMMYFUNCTION("""COMPUTED_VALUE"""),"U15B")</f>
        <v>U15B</v>
      </c>
      <c r="S66" s="1" t="str">
        <f ca="1">IFERROR(__xludf.DUMMYFUNCTION("""COMPUTED_VALUE"""),"Scrabo Striders")</f>
        <v>Scrabo Striders</v>
      </c>
      <c r="T66" s="3">
        <f ca="1">IFERROR(__xludf.DUMMYFUNCTION("""COMPUTED_VALUE"""),0.0110879629629629)</f>
        <v>1.10879629629629E-2</v>
      </c>
      <c r="U66" s="1">
        <f ca="1">IFERROR(__xludf.DUMMYFUNCTION("""COMPUTED_VALUE"""),64)</f>
        <v>64</v>
      </c>
      <c r="V66" s="1" t="str">
        <f ca="1">IFERROR(__xludf.DUMMYFUNCTION("""COMPUTED_VALUE"""),"Kevin Donnelly")</f>
        <v>Kevin Donnelly</v>
      </c>
      <c r="W66" s="1" t="str">
        <f ca="1">IFERROR(__xludf.DUMMYFUNCTION("""COMPUTED_VALUE"""),"M45")</f>
        <v>M45</v>
      </c>
      <c r="X66" s="1" t="str">
        <f ca="1">IFERROR(__xludf.DUMMYFUNCTION("""COMPUTED_VALUE"""),"Mallusk Harriers")</f>
        <v>Mallusk Harriers</v>
      </c>
      <c r="Y66" s="3">
        <f ca="1">IFERROR(__xludf.DUMMYFUNCTION("""COMPUTED_VALUE"""),0.0182523148148148)</f>
        <v>1.8252314814814801E-2</v>
      </c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>
        <f ca="1">IFERROR(__xludf.DUMMYFUNCTION("""COMPUTED_VALUE"""),9)</f>
        <v>9</v>
      </c>
      <c r="BI66" s="1" t="str">
        <f ca="1">IFERROR(__xludf.DUMMYFUNCTION("""COMPUTED_VALUE"""),"Dromore AC")</f>
        <v>Dromore AC</v>
      </c>
      <c r="BJ66" s="1">
        <f ca="1">IFERROR(__xludf.DUMMYFUNCTION("""COMPUTED_VALUE"""),191)</f>
        <v>191</v>
      </c>
    </row>
    <row r="67" spans="1:62" x14ac:dyDescent="0.25">
      <c r="A67" s="1">
        <f ca="1">IFERROR(__xludf.DUMMYFUNCTION("""COMPUTED_VALUE"""),65)</f>
        <v>65</v>
      </c>
      <c r="B67" s="1" t="str">
        <f ca="1">IFERROR(__xludf.DUMMYFUNCTION("""COMPUTED_VALUE"""),"Andrew Johnston")</f>
        <v>Andrew Johnston</v>
      </c>
      <c r="C67" s="1" t="str">
        <f ca="1">IFERROR(__xludf.DUMMYFUNCTION("""COMPUTED_VALUE"""),"M50")</f>
        <v>M50</v>
      </c>
      <c r="D67" s="1" t="str">
        <f ca="1">IFERROR(__xludf.DUMMYFUNCTION("""COMPUTED_VALUE"""),"Dromore AC")</f>
        <v>Dromore AC</v>
      </c>
      <c r="E67" s="3">
        <f ca="1">IFERROR(__xludf.DUMMYFUNCTION("""COMPUTED_VALUE"""),0.0150231481481481)</f>
        <v>1.50231481481481E-2</v>
      </c>
      <c r="F67" s="1" t="str">
        <f ca="1">IFERROR(__xludf.DUMMYFUNCTION("""COMPUTED_VALUE""")," ")</f>
        <v xml:space="preserve"> </v>
      </c>
      <c r="G67" s="1" t="str">
        <f ca="1">IFERROR(__xludf.DUMMYFUNCTION("""COMPUTED_VALUE""")," ")</f>
        <v xml:space="preserve"> </v>
      </c>
      <c r="H67" s="1" t="str">
        <f ca="1">IFERROR(__xludf.DUMMYFUNCTION("""COMPUTED_VALUE""")," ")</f>
        <v xml:space="preserve"> </v>
      </c>
      <c r="I67" s="1" t="str">
        <f ca="1">IFERROR(__xludf.DUMMYFUNCTION("""COMPUTED_VALUE""")," ")</f>
        <v xml:space="preserve"> </v>
      </c>
      <c r="J67" s="1" t="str">
        <f ca="1">IFERROR(__xludf.DUMMYFUNCTION("""COMPUTED_VALUE""")," ")</f>
        <v xml:space="preserve"> </v>
      </c>
      <c r="K67" s="1">
        <f ca="1">IFERROR(__xludf.DUMMYFUNCTION("""COMPUTED_VALUE"""),65)</f>
        <v>65</v>
      </c>
      <c r="L67" s="1" t="str">
        <f ca="1">IFERROR(__xludf.DUMMYFUNCTION("""COMPUTED_VALUE"""),"Sarah Benton")</f>
        <v>Sarah Benton</v>
      </c>
      <c r="M67" s="1" t="str">
        <f ca="1">IFERROR(__xludf.DUMMYFUNCTION("""COMPUTED_VALUE"""),"F50")</f>
        <v>F50</v>
      </c>
      <c r="N67" s="1" t="str">
        <f ca="1">IFERROR(__xludf.DUMMYFUNCTION("""COMPUTED_VALUE"""),"North Down AC")</f>
        <v>North Down AC</v>
      </c>
      <c r="O67" s="3">
        <f ca="1">IFERROR(__xludf.DUMMYFUNCTION("""COMPUTED_VALUE"""),0.0164351851851851)</f>
        <v>1.6435185185185101E-2</v>
      </c>
      <c r="P67" s="1">
        <f ca="1">IFERROR(__xludf.DUMMYFUNCTION("""COMPUTED_VALUE"""),65)</f>
        <v>65</v>
      </c>
      <c r="Q67" s="1" t="str">
        <f ca="1">IFERROR(__xludf.DUMMYFUNCTION("""COMPUTED_VALUE"""),"Anna O'Kane")</f>
        <v>Anna O'Kane</v>
      </c>
      <c r="R67" s="1" t="str">
        <f ca="1">IFERROR(__xludf.DUMMYFUNCTION("""COMPUTED_VALUE"""),"U15G")</f>
        <v>U15G</v>
      </c>
      <c r="S67" s="1" t="str">
        <f ca="1">IFERROR(__xludf.DUMMYFUNCTION("""COMPUTED_VALUE"""),"Beechmount Harriers")</f>
        <v>Beechmount Harriers</v>
      </c>
      <c r="T67" s="3">
        <f ca="1">IFERROR(__xludf.DUMMYFUNCTION("""COMPUTED_VALUE"""),0.0112268518518518)</f>
        <v>1.12268518518518E-2</v>
      </c>
      <c r="U67" s="1">
        <f ca="1">IFERROR(__xludf.DUMMYFUNCTION("""COMPUTED_VALUE"""),65)</f>
        <v>65</v>
      </c>
      <c r="V67" s="1" t="str">
        <f ca="1">IFERROR(__xludf.DUMMYFUNCTION("""COMPUTED_VALUE"""),"Kyle Arbuthnot")</f>
        <v>Kyle Arbuthnot</v>
      </c>
      <c r="W67" s="1" t="str">
        <f ca="1">IFERROR(__xludf.DUMMYFUNCTION("""COMPUTED_VALUE"""),"MO")</f>
        <v>MO</v>
      </c>
      <c r="X67" s="1" t="str">
        <f ca="1">IFERROR(__xludf.DUMMYFUNCTION("""COMPUTED_VALUE"""),"Willowfield Harriers")</f>
        <v>Willowfield Harriers</v>
      </c>
      <c r="Y67" s="3">
        <f ca="1">IFERROR(__xludf.DUMMYFUNCTION("""COMPUTED_VALUE"""),0.0183333333333333)</f>
        <v>1.8333333333333299E-2</v>
      </c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>
        <f ca="1">IFERROR(__xludf.DUMMYFUNCTION("""COMPUTED_VALUE"""),10)</f>
        <v>10</v>
      </c>
      <c r="BI67" s="1" t="str">
        <f ca="1">IFERROR(__xludf.DUMMYFUNCTION("""COMPUTED_VALUE"""),"Murlough AC")</f>
        <v>Murlough AC</v>
      </c>
      <c r="BJ67" s="1">
        <f ca="1">IFERROR(__xludf.DUMMYFUNCTION("""COMPUTED_VALUE"""),213)</f>
        <v>213</v>
      </c>
    </row>
    <row r="68" spans="1:62" x14ac:dyDescent="0.25">
      <c r="A68" s="1">
        <f ca="1">IFERROR(__xludf.DUMMYFUNCTION("""COMPUTED_VALUE"""),66)</f>
        <v>66</v>
      </c>
      <c r="B68" s="1" t="str">
        <f ca="1">IFERROR(__xludf.DUMMYFUNCTION("""COMPUTED_VALUE"""),"Declan Hassan")</f>
        <v>Declan Hassan</v>
      </c>
      <c r="C68" s="1" t="str">
        <f ca="1">IFERROR(__xludf.DUMMYFUNCTION("""COMPUTED_VALUE"""),"M45")</f>
        <v>M45</v>
      </c>
      <c r="D68" s="1" t="str">
        <f ca="1">IFERROR(__xludf.DUMMYFUNCTION("""COMPUTED_VALUE"""),"Ballymena Runners")</f>
        <v>Ballymena Runners</v>
      </c>
      <c r="E68" s="3">
        <f ca="1">IFERROR(__xludf.DUMMYFUNCTION("""COMPUTED_VALUE"""),0.0150694444444444)</f>
        <v>1.5069444444444399E-2</v>
      </c>
      <c r="F68" s="1" t="str">
        <f ca="1">IFERROR(__xludf.DUMMYFUNCTION("""COMPUTED_VALUE""")," ")</f>
        <v xml:space="preserve"> </v>
      </c>
      <c r="G68" s="1" t="str">
        <f ca="1">IFERROR(__xludf.DUMMYFUNCTION("""COMPUTED_VALUE""")," ")</f>
        <v xml:space="preserve"> </v>
      </c>
      <c r="H68" s="1" t="str">
        <f ca="1">IFERROR(__xludf.DUMMYFUNCTION("""COMPUTED_VALUE""")," ")</f>
        <v xml:space="preserve"> </v>
      </c>
      <c r="I68" s="1" t="str">
        <f ca="1">IFERROR(__xludf.DUMMYFUNCTION("""COMPUTED_VALUE""")," ")</f>
        <v xml:space="preserve"> </v>
      </c>
      <c r="J68" s="1" t="str">
        <f ca="1">IFERROR(__xludf.DUMMYFUNCTION("""COMPUTED_VALUE""")," ")</f>
        <v xml:space="preserve"> </v>
      </c>
      <c r="K68" s="1">
        <f ca="1">IFERROR(__xludf.DUMMYFUNCTION("""COMPUTED_VALUE"""),66)</f>
        <v>66</v>
      </c>
      <c r="L68" s="1" t="str">
        <f ca="1">IFERROR(__xludf.DUMMYFUNCTION("""COMPUTED_VALUE"""),"Roisin McAleer")</f>
        <v>Roisin McAleer</v>
      </c>
      <c r="M68" s="1" t="str">
        <f ca="1">IFERROR(__xludf.DUMMYFUNCTION("""COMPUTED_VALUE"""),"F45")</f>
        <v>F45</v>
      </c>
      <c r="N68" s="1"/>
      <c r="O68" s="3">
        <f ca="1">IFERROR(__xludf.DUMMYFUNCTION("""COMPUTED_VALUE"""),0.0164467592592592)</f>
        <v>1.6446759259259199E-2</v>
      </c>
      <c r="P68" s="1">
        <f ca="1">IFERROR(__xludf.DUMMYFUNCTION("""COMPUTED_VALUE"""),66)</f>
        <v>66</v>
      </c>
      <c r="Q68" s="1" t="str">
        <f ca="1">IFERROR(__xludf.DUMMYFUNCTION("""COMPUTED_VALUE"""),"Aoibheann O'Gorman")</f>
        <v>Aoibheann O'Gorman</v>
      </c>
      <c r="R68" s="1" t="str">
        <f ca="1">IFERROR(__xludf.DUMMYFUNCTION("""COMPUTED_VALUE"""),"U17G")</f>
        <v>U17G</v>
      </c>
      <c r="S68" s="1" t="str">
        <f ca="1">IFERROR(__xludf.DUMMYFUNCTION("""COMPUTED_VALUE"""),"Newcastle &amp; District AC")</f>
        <v>Newcastle &amp; District AC</v>
      </c>
      <c r="T68" s="3">
        <f ca="1">IFERROR(__xludf.DUMMYFUNCTION("""COMPUTED_VALUE"""),0.0112731481481481)</f>
        <v>1.12731481481481E-2</v>
      </c>
      <c r="U68" s="1">
        <f ca="1">IFERROR(__xludf.DUMMYFUNCTION("""COMPUTED_VALUE"""),66)</f>
        <v>66</v>
      </c>
      <c r="V68" s="1" t="str">
        <f ca="1">IFERROR(__xludf.DUMMYFUNCTION("""COMPUTED_VALUE"""),"John Hasson")</f>
        <v>John Hasson</v>
      </c>
      <c r="W68" s="1" t="str">
        <f ca="1">IFERROR(__xludf.DUMMYFUNCTION("""COMPUTED_VALUE"""),"M50")</f>
        <v>M50</v>
      </c>
      <c r="X68" s="1" t="str">
        <f ca="1">IFERROR(__xludf.DUMMYFUNCTION("""COMPUTED_VALUE"""),"Ballymena Runners")</f>
        <v>Ballymena Runners</v>
      </c>
      <c r="Y68" s="3">
        <f ca="1">IFERROR(__xludf.DUMMYFUNCTION("""COMPUTED_VALUE"""),0.0183680555555555)</f>
        <v>1.8368055555555499E-2</v>
      </c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>
        <f ca="1">IFERROR(__xludf.DUMMYFUNCTION("""COMPUTED_VALUE"""),11)</f>
        <v>11</v>
      </c>
      <c r="BI68" s="1" t="str">
        <f ca="1">IFERROR(__xludf.DUMMYFUNCTION("""COMPUTED_VALUE"""),"Willowfield Harriers")</f>
        <v>Willowfield Harriers</v>
      </c>
      <c r="BJ68" s="1">
        <f ca="1">IFERROR(__xludf.DUMMYFUNCTION("""COMPUTED_VALUE"""),262)</f>
        <v>262</v>
      </c>
    </row>
    <row r="69" spans="1:62" x14ac:dyDescent="0.25">
      <c r="A69" s="1">
        <f ca="1">IFERROR(__xludf.DUMMYFUNCTION("""COMPUTED_VALUE"""),67)</f>
        <v>67</v>
      </c>
      <c r="B69" s="1" t="str">
        <f ca="1">IFERROR(__xludf.DUMMYFUNCTION("""COMPUTED_VALUE"""),"Chris Callaghan")</f>
        <v>Chris Callaghan</v>
      </c>
      <c r="C69" s="1" t="str">
        <f ca="1">IFERROR(__xludf.DUMMYFUNCTION("""COMPUTED_VALUE"""),"M55")</f>
        <v>M55</v>
      </c>
      <c r="D69" s="1" t="str">
        <f ca="1">IFERROR(__xludf.DUMMYFUNCTION("""COMPUTED_VALUE"""),"North Belfast Harriers")</f>
        <v>North Belfast Harriers</v>
      </c>
      <c r="E69" s="3">
        <f ca="1">IFERROR(__xludf.DUMMYFUNCTION("""COMPUTED_VALUE"""),0.0151041666666666)</f>
        <v>1.5104166666666601E-2</v>
      </c>
      <c r="F69" s="1" t="str">
        <f ca="1">IFERROR(__xludf.DUMMYFUNCTION("""COMPUTED_VALUE""")," ")</f>
        <v xml:space="preserve"> </v>
      </c>
      <c r="G69" s="1" t="str">
        <f ca="1">IFERROR(__xludf.DUMMYFUNCTION("""COMPUTED_VALUE""")," ")</f>
        <v xml:space="preserve"> </v>
      </c>
      <c r="H69" s="1" t="str">
        <f ca="1">IFERROR(__xludf.DUMMYFUNCTION("""COMPUTED_VALUE""")," ")</f>
        <v xml:space="preserve"> </v>
      </c>
      <c r="I69" s="1" t="str">
        <f ca="1">IFERROR(__xludf.DUMMYFUNCTION("""COMPUTED_VALUE""")," ")</f>
        <v xml:space="preserve"> </v>
      </c>
      <c r="J69" s="1" t="str">
        <f ca="1">IFERROR(__xludf.DUMMYFUNCTION("""COMPUTED_VALUE""")," ")</f>
        <v xml:space="preserve"> </v>
      </c>
      <c r="K69" s="1">
        <f ca="1">IFERROR(__xludf.DUMMYFUNCTION("""COMPUTED_VALUE"""),67)</f>
        <v>67</v>
      </c>
      <c r="L69" s="1" t="str">
        <f ca="1">IFERROR(__xludf.DUMMYFUNCTION("""COMPUTED_VALUE"""),"Elizabeth Watt")</f>
        <v>Elizabeth Watt</v>
      </c>
      <c r="M69" s="1" t="str">
        <f ca="1">IFERROR(__xludf.DUMMYFUNCTION("""COMPUTED_VALUE"""),"F50")</f>
        <v>F50</v>
      </c>
      <c r="N69" s="1" t="str">
        <f ca="1">IFERROR(__xludf.DUMMYFUNCTION("""COMPUTED_VALUE"""),"Victoria Park &amp; Connswater Ac")</f>
        <v>Victoria Park &amp; Connswater Ac</v>
      </c>
      <c r="O69" s="3">
        <f ca="1">IFERROR(__xludf.DUMMYFUNCTION("""COMPUTED_VALUE"""),0.0164467592592592)</f>
        <v>1.6446759259259199E-2</v>
      </c>
      <c r="P69" s="1">
        <f ca="1">IFERROR(__xludf.DUMMYFUNCTION("""COMPUTED_VALUE"""),67)</f>
        <v>67</v>
      </c>
      <c r="Q69" s="1" t="str">
        <f ca="1">IFERROR(__xludf.DUMMYFUNCTION("""COMPUTED_VALUE"""),"Rebekah Wilson")</f>
        <v>Rebekah Wilson</v>
      </c>
      <c r="R69" s="1" t="str">
        <f ca="1">IFERROR(__xludf.DUMMYFUNCTION("""COMPUTED_VALUE"""),"U15G")</f>
        <v>U15G</v>
      </c>
      <c r="S69" s="1" t="str">
        <f ca="1">IFERROR(__xludf.DUMMYFUNCTION("""COMPUTED_VALUE"""),"East Down AC")</f>
        <v>East Down AC</v>
      </c>
      <c r="T69" s="3">
        <f ca="1">IFERROR(__xludf.DUMMYFUNCTION("""COMPUTED_VALUE"""),0.0116782407407407)</f>
        <v>1.1678240740740699E-2</v>
      </c>
      <c r="U69" s="1">
        <f ca="1">IFERROR(__xludf.DUMMYFUNCTION("""COMPUTED_VALUE"""),67)</f>
        <v>67</v>
      </c>
      <c r="V69" s="1" t="str">
        <f ca="1">IFERROR(__xludf.DUMMYFUNCTION("""COMPUTED_VALUE"""),"Dainis Tarvids")</f>
        <v>Dainis Tarvids</v>
      </c>
      <c r="W69" s="1" t="str">
        <f ca="1">IFERROR(__xludf.DUMMYFUNCTION("""COMPUTED_VALUE"""),"M45")</f>
        <v>M45</v>
      </c>
      <c r="X69" s="1" t="str">
        <f ca="1">IFERROR(__xludf.DUMMYFUNCTION("""COMPUTED_VALUE"""),"Enniskillen Running Club")</f>
        <v>Enniskillen Running Club</v>
      </c>
      <c r="Y69" s="3">
        <f ca="1">IFERROR(__xludf.DUMMYFUNCTION("""COMPUTED_VALUE"""),0.0185532407407407)</f>
        <v>1.85532407407407E-2</v>
      </c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>
        <f ca="1">IFERROR(__xludf.DUMMYFUNCTION("""COMPUTED_VALUE"""),12)</f>
        <v>12</v>
      </c>
      <c r="BI69" s="1" t="str">
        <f ca="1">IFERROR(__xludf.DUMMYFUNCTION("""COMPUTED_VALUE"""),"Scrabo Striders")</f>
        <v>Scrabo Striders</v>
      </c>
      <c r="BJ69" s="1">
        <f ca="1">IFERROR(__xludf.DUMMYFUNCTION("""COMPUTED_VALUE"""),311)</f>
        <v>311</v>
      </c>
    </row>
    <row r="70" spans="1:62" x14ac:dyDescent="0.25">
      <c r="A70" s="1">
        <f ca="1">IFERROR(__xludf.DUMMYFUNCTION("""COMPUTED_VALUE"""),68)</f>
        <v>68</v>
      </c>
      <c r="B70" s="1" t="str">
        <f ca="1">IFERROR(__xludf.DUMMYFUNCTION("""COMPUTED_VALUE"""),"Ken Dougan")</f>
        <v>Ken Dougan</v>
      </c>
      <c r="C70" s="1" t="str">
        <f ca="1">IFERROR(__xludf.DUMMYFUNCTION("""COMPUTED_VALUE"""),"M60")</f>
        <v>M60</v>
      </c>
      <c r="D70" s="1" t="str">
        <f ca="1">IFERROR(__xludf.DUMMYFUNCTION("""COMPUTED_VALUE"""),"Lagan Valley AC")</f>
        <v>Lagan Valley AC</v>
      </c>
      <c r="E70" s="3">
        <f ca="1">IFERROR(__xludf.DUMMYFUNCTION("""COMPUTED_VALUE"""),0.0151157407407407)</f>
        <v>1.51157407407407E-2</v>
      </c>
      <c r="F70" s="1" t="str">
        <f ca="1">IFERROR(__xludf.DUMMYFUNCTION("""COMPUTED_VALUE""")," ")</f>
        <v xml:space="preserve"> </v>
      </c>
      <c r="G70" s="1" t="str">
        <f ca="1">IFERROR(__xludf.DUMMYFUNCTION("""COMPUTED_VALUE""")," ")</f>
        <v xml:space="preserve"> </v>
      </c>
      <c r="H70" s="1" t="str">
        <f ca="1">IFERROR(__xludf.DUMMYFUNCTION("""COMPUTED_VALUE""")," ")</f>
        <v xml:space="preserve"> </v>
      </c>
      <c r="I70" s="1" t="str">
        <f ca="1">IFERROR(__xludf.DUMMYFUNCTION("""COMPUTED_VALUE""")," ")</f>
        <v xml:space="preserve"> </v>
      </c>
      <c r="J70" s="1" t="str">
        <f ca="1">IFERROR(__xludf.DUMMYFUNCTION("""COMPUTED_VALUE""")," ")</f>
        <v xml:space="preserve"> </v>
      </c>
      <c r="K70" s="1">
        <f ca="1">IFERROR(__xludf.DUMMYFUNCTION("""COMPUTED_VALUE"""),68)</f>
        <v>68</v>
      </c>
      <c r="L70" s="1" t="str">
        <f ca="1">IFERROR(__xludf.DUMMYFUNCTION("""COMPUTED_VALUE"""),"Aoife Harte")</f>
        <v>Aoife Harte</v>
      </c>
      <c r="M70" s="1" t="str">
        <f ca="1">IFERROR(__xludf.DUMMYFUNCTION("""COMPUTED_VALUE"""),"FO")</f>
        <v>FO</v>
      </c>
      <c r="N70" s="1" t="str">
        <f ca="1">IFERROR(__xludf.DUMMYFUNCTION("""COMPUTED_VALUE"""),"Murlough AC")</f>
        <v>Murlough AC</v>
      </c>
      <c r="O70" s="3">
        <f ca="1">IFERROR(__xludf.DUMMYFUNCTION("""COMPUTED_VALUE"""),0.0165856481481481)</f>
        <v>1.6585648148148099E-2</v>
      </c>
      <c r="P70" s="1">
        <f ca="1">IFERROR(__xludf.DUMMYFUNCTION("""COMPUTED_VALUE"""),68)</f>
        <v>68</v>
      </c>
      <c r="Q70" s="1" t="str">
        <f ca="1">IFERROR(__xludf.DUMMYFUNCTION("""COMPUTED_VALUE"""),"Hannah Milligan")</f>
        <v>Hannah Milligan</v>
      </c>
      <c r="R70" s="1" t="str">
        <f ca="1">IFERROR(__xludf.DUMMYFUNCTION("""COMPUTED_VALUE"""),"U15G")</f>
        <v>U15G</v>
      </c>
      <c r="S70" s="1" t="str">
        <f ca="1">IFERROR(__xludf.DUMMYFUNCTION("""COMPUTED_VALUE"""),"Lagan Valley AC")</f>
        <v>Lagan Valley AC</v>
      </c>
      <c r="T70" s="3">
        <f ca="1">IFERROR(__xludf.DUMMYFUNCTION("""COMPUTED_VALUE"""),0.0117013888888888)</f>
        <v>1.1701388888888799E-2</v>
      </c>
      <c r="U70" s="1">
        <f ca="1">IFERROR(__xludf.DUMMYFUNCTION("""COMPUTED_VALUE"""),68)</f>
        <v>68</v>
      </c>
      <c r="V70" s="1" t="str">
        <f ca="1">IFERROR(__xludf.DUMMYFUNCTION("""COMPUTED_VALUE"""),"Cameron Faulkner")</f>
        <v>Cameron Faulkner</v>
      </c>
      <c r="W70" s="1" t="str">
        <f ca="1">IFERROR(__xludf.DUMMYFUNCTION("""COMPUTED_VALUE"""),"MO")</f>
        <v>MO</v>
      </c>
      <c r="X70" s="1" t="str">
        <f ca="1">IFERROR(__xludf.DUMMYFUNCTION("""COMPUTED_VALUE"""),"Orangegrove AC")</f>
        <v>Orangegrove AC</v>
      </c>
      <c r="Y70" s="3">
        <f ca="1">IFERROR(__xludf.DUMMYFUNCTION("""COMPUTED_VALUE"""),0.0187384259259259)</f>
        <v>1.8738425925925901E-2</v>
      </c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>
        <f ca="1">IFERROR(__xludf.DUMMYFUNCTION("""COMPUTED_VALUE"""),13)</f>
        <v>13</v>
      </c>
      <c r="BI70" s="1" t="str">
        <f ca="1">IFERROR(__xludf.DUMMYFUNCTION("""COMPUTED_VALUE"""),"County Antrim Harriers")</f>
        <v>County Antrim Harriers</v>
      </c>
      <c r="BJ70" s="1">
        <f ca="1">IFERROR(__xludf.DUMMYFUNCTION("""COMPUTED_VALUE"""),355)</f>
        <v>355</v>
      </c>
    </row>
    <row r="71" spans="1:62" x14ac:dyDescent="0.25">
      <c r="A71" s="1">
        <f ca="1">IFERROR(__xludf.DUMMYFUNCTION("""COMPUTED_VALUE"""),69)</f>
        <v>69</v>
      </c>
      <c r="B71" s="1" t="str">
        <f ca="1">IFERROR(__xludf.DUMMYFUNCTION("""COMPUTED_VALUE"""),"Eric Montgomery")</f>
        <v>Eric Montgomery</v>
      </c>
      <c r="C71" s="1" t="str">
        <f ca="1">IFERROR(__xludf.DUMMYFUNCTION("""COMPUTED_VALUE"""),"M65")</f>
        <v>M65</v>
      </c>
      <c r="D71" s="1" t="str">
        <f ca="1">IFERROR(__xludf.DUMMYFUNCTION("""COMPUTED_VALUE"""),"Lagan Valley AC")</f>
        <v>Lagan Valley AC</v>
      </c>
      <c r="E71" s="3">
        <f ca="1">IFERROR(__xludf.DUMMYFUNCTION("""COMPUTED_VALUE"""),0.0152662037037037)</f>
        <v>1.52662037037037E-2</v>
      </c>
      <c r="F71" s="1" t="str">
        <f ca="1">IFERROR(__xludf.DUMMYFUNCTION("""COMPUTED_VALUE""")," ")</f>
        <v xml:space="preserve"> </v>
      </c>
      <c r="G71" s="1" t="str">
        <f ca="1">IFERROR(__xludf.DUMMYFUNCTION("""COMPUTED_VALUE""")," ")</f>
        <v xml:space="preserve"> </v>
      </c>
      <c r="H71" s="1" t="str">
        <f ca="1">IFERROR(__xludf.DUMMYFUNCTION("""COMPUTED_VALUE""")," ")</f>
        <v xml:space="preserve"> </v>
      </c>
      <c r="I71" s="1" t="str">
        <f ca="1">IFERROR(__xludf.DUMMYFUNCTION("""COMPUTED_VALUE""")," ")</f>
        <v xml:space="preserve"> </v>
      </c>
      <c r="J71" s="1" t="str">
        <f ca="1">IFERROR(__xludf.DUMMYFUNCTION("""COMPUTED_VALUE""")," ")</f>
        <v xml:space="preserve"> </v>
      </c>
      <c r="K71" s="1">
        <f ca="1">IFERROR(__xludf.DUMMYFUNCTION("""COMPUTED_VALUE"""),69)</f>
        <v>69</v>
      </c>
      <c r="L71" s="1" t="str">
        <f ca="1">IFERROR(__xludf.DUMMYFUNCTION("""COMPUTED_VALUE"""),"Glynis Boyle")</f>
        <v>Glynis Boyle</v>
      </c>
      <c r="M71" s="1" t="str">
        <f ca="1">IFERROR(__xludf.DUMMYFUNCTION("""COMPUTED_VALUE"""),"F55")</f>
        <v>F55</v>
      </c>
      <c r="N71" s="1" t="str">
        <f ca="1">IFERROR(__xludf.DUMMYFUNCTION("""COMPUTED_VALUE"""),"North Down AC")</f>
        <v>North Down AC</v>
      </c>
      <c r="O71" s="3">
        <f ca="1">IFERROR(__xludf.DUMMYFUNCTION("""COMPUTED_VALUE"""),0.0166087962962962)</f>
        <v>1.6608796296296201E-2</v>
      </c>
      <c r="P71" s="1">
        <f ca="1">IFERROR(__xludf.DUMMYFUNCTION("""COMPUTED_VALUE"""),69)</f>
        <v>69</v>
      </c>
      <c r="Q71" s="1" t="str">
        <f ca="1">IFERROR(__xludf.DUMMYFUNCTION("""COMPUTED_VALUE"""),"Erin Olivia Moore")</f>
        <v>Erin Olivia Moore</v>
      </c>
      <c r="R71" s="1" t="str">
        <f ca="1">IFERROR(__xludf.DUMMYFUNCTION("""COMPUTED_VALUE"""),"U15G")</f>
        <v>U15G</v>
      </c>
      <c r="S71" s="1" t="str">
        <f ca="1">IFERROR(__xludf.DUMMYFUNCTION("""COMPUTED_VALUE"""),"East Down AC")</f>
        <v>East Down AC</v>
      </c>
      <c r="T71" s="3">
        <f ca="1">IFERROR(__xludf.DUMMYFUNCTION("""COMPUTED_VALUE"""),0.0121527777777777)</f>
        <v>1.21527777777777E-2</v>
      </c>
      <c r="U71" s="1">
        <f ca="1">IFERROR(__xludf.DUMMYFUNCTION("""COMPUTED_VALUE"""),69)</f>
        <v>69</v>
      </c>
      <c r="V71" s="1" t="str">
        <f ca="1">IFERROR(__xludf.DUMMYFUNCTION("""COMPUTED_VALUE"""),"Brian Bogle")</f>
        <v>Brian Bogle</v>
      </c>
      <c r="W71" s="1" t="str">
        <f ca="1">IFERROR(__xludf.DUMMYFUNCTION("""COMPUTED_VALUE"""),"M40")</f>
        <v>M40</v>
      </c>
      <c r="X71" s="1" t="str">
        <f ca="1">IFERROR(__xludf.DUMMYFUNCTION("""COMPUTED_VALUE"""),"Ballydrain Harriers")</f>
        <v>Ballydrain Harriers</v>
      </c>
      <c r="Y71" s="3">
        <f ca="1">IFERROR(__xludf.DUMMYFUNCTION("""COMPUTED_VALUE"""),0.0189004629629629)</f>
        <v>1.89004629629629E-2</v>
      </c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>
        <f ca="1">IFERROR(__xludf.DUMMYFUNCTION("""COMPUTED_VALUE"""),14)</f>
        <v>14</v>
      </c>
      <c r="BI71" s="1" t="str">
        <f ca="1">IFERROR(__xludf.DUMMYFUNCTION("""COMPUTED_VALUE"""),"East Down AC")</f>
        <v>East Down AC</v>
      </c>
      <c r="BJ71" s="1">
        <f ca="1">IFERROR(__xludf.DUMMYFUNCTION("""COMPUTED_VALUE"""),360)</f>
        <v>360</v>
      </c>
    </row>
    <row r="72" spans="1:62" x14ac:dyDescent="0.25">
      <c r="A72" s="1">
        <f ca="1">IFERROR(__xludf.DUMMYFUNCTION("""COMPUTED_VALUE"""),70)</f>
        <v>70</v>
      </c>
      <c r="B72" s="1" t="str">
        <f ca="1">IFERROR(__xludf.DUMMYFUNCTION("""COMPUTED_VALUE"""),"Brian Stewart")</f>
        <v>Brian Stewart</v>
      </c>
      <c r="C72" s="1" t="str">
        <f ca="1">IFERROR(__xludf.DUMMYFUNCTION("""COMPUTED_VALUE"""),"M70")</f>
        <v>M70</v>
      </c>
      <c r="D72" s="1" t="str">
        <f ca="1">IFERROR(__xludf.DUMMYFUNCTION("""COMPUTED_VALUE"""),"North Belfast Harriers")</f>
        <v>North Belfast Harriers</v>
      </c>
      <c r="E72" s="3">
        <f ca="1">IFERROR(__xludf.DUMMYFUNCTION("""COMPUTED_VALUE"""),0.0153125)</f>
        <v>1.53125E-2</v>
      </c>
      <c r="F72" s="1" t="str">
        <f ca="1">IFERROR(__xludf.DUMMYFUNCTION("""COMPUTED_VALUE""")," ")</f>
        <v xml:space="preserve"> </v>
      </c>
      <c r="G72" s="1" t="str">
        <f ca="1">IFERROR(__xludf.DUMMYFUNCTION("""COMPUTED_VALUE""")," ")</f>
        <v xml:space="preserve"> </v>
      </c>
      <c r="H72" s="1" t="str">
        <f ca="1">IFERROR(__xludf.DUMMYFUNCTION("""COMPUTED_VALUE""")," ")</f>
        <v xml:space="preserve"> </v>
      </c>
      <c r="I72" s="1" t="str">
        <f ca="1">IFERROR(__xludf.DUMMYFUNCTION("""COMPUTED_VALUE""")," ")</f>
        <v xml:space="preserve"> </v>
      </c>
      <c r="J72" s="1" t="str">
        <f ca="1">IFERROR(__xludf.DUMMYFUNCTION("""COMPUTED_VALUE""")," ")</f>
        <v xml:space="preserve"> </v>
      </c>
      <c r="K72" s="1">
        <f ca="1">IFERROR(__xludf.DUMMYFUNCTION("""COMPUTED_VALUE"""),70)</f>
        <v>70</v>
      </c>
      <c r="L72" s="1" t="str">
        <f ca="1">IFERROR(__xludf.DUMMYFUNCTION("""COMPUTED_VALUE"""),"Emma Stevenson")</f>
        <v>Emma Stevenson</v>
      </c>
      <c r="M72" s="1" t="str">
        <f ca="1">IFERROR(__xludf.DUMMYFUNCTION("""COMPUTED_VALUE"""),"F40")</f>
        <v>F40</v>
      </c>
      <c r="N72" s="1" t="str">
        <f ca="1">IFERROR(__xludf.DUMMYFUNCTION("""COMPUTED_VALUE"""),"Willowfield Harriers")</f>
        <v>Willowfield Harriers</v>
      </c>
      <c r="O72" s="3">
        <f ca="1">IFERROR(__xludf.DUMMYFUNCTION("""COMPUTED_VALUE"""),0.0166550925925925)</f>
        <v>1.6655092592592499E-2</v>
      </c>
      <c r="P72" s="1">
        <f ca="1">IFERROR(__xludf.DUMMYFUNCTION("""COMPUTED_VALUE"""),70)</f>
        <v>70</v>
      </c>
      <c r="Q72" s="1" t="str">
        <f ca="1">IFERROR(__xludf.DUMMYFUNCTION("""COMPUTED_VALUE"""),"Lucy Reynolds")</f>
        <v>Lucy Reynolds</v>
      </c>
      <c r="R72" s="1" t="str">
        <f ca="1">IFERROR(__xludf.DUMMYFUNCTION("""COMPUTED_VALUE"""),"U15G")</f>
        <v>U15G</v>
      </c>
      <c r="S72" s="1" t="str">
        <f ca="1">IFERROR(__xludf.DUMMYFUNCTION("""COMPUTED_VALUE"""),"Beechmount Harriers")</f>
        <v>Beechmount Harriers</v>
      </c>
      <c r="T72" s="3">
        <f ca="1">IFERROR(__xludf.DUMMYFUNCTION("""COMPUTED_VALUE"""),0.0123958333333333)</f>
        <v>1.23958333333333E-2</v>
      </c>
      <c r="U72" s="1">
        <f ca="1">IFERROR(__xludf.DUMMYFUNCTION("""COMPUTED_VALUE"""),70)</f>
        <v>70</v>
      </c>
      <c r="V72" s="1" t="str">
        <f ca="1">IFERROR(__xludf.DUMMYFUNCTION("""COMPUTED_VALUE"""),"Luke Wallace")</f>
        <v>Luke Wallace</v>
      </c>
      <c r="W72" s="1" t="str">
        <f ca="1">IFERROR(__xludf.DUMMYFUNCTION("""COMPUTED_VALUE"""),"MO")</f>
        <v>MO</v>
      </c>
      <c r="X72" s="1" t="str">
        <f ca="1">IFERROR(__xludf.DUMMYFUNCTION("""COMPUTED_VALUE"""),"Ballydrain Harriers")</f>
        <v>Ballydrain Harriers</v>
      </c>
      <c r="Y72" s="3">
        <f ca="1">IFERROR(__xludf.DUMMYFUNCTION("""COMPUTED_VALUE"""),0.0190625)</f>
        <v>1.90625E-2</v>
      </c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>
        <f ca="1">IFERROR(__xludf.DUMMYFUNCTION("""COMPUTED_VALUE"""),15)</f>
        <v>15</v>
      </c>
      <c r="BI72" s="1" t="str">
        <f ca="1">IFERROR(__xludf.DUMMYFUNCTION("""COMPUTED_VALUE"""),"Mallusk Harriers")</f>
        <v>Mallusk Harriers</v>
      </c>
      <c r="BJ72" s="1">
        <f ca="1">IFERROR(__xludf.DUMMYFUNCTION("""COMPUTED_VALUE"""),434)</f>
        <v>434</v>
      </c>
    </row>
    <row r="73" spans="1:62" x14ac:dyDescent="0.25">
      <c r="A73" s="1">
        <f ca="1">IFERROR(__xludf.DUMMYFUNCTION("""COMPUTED_VALUE"""),71)</f>
        <v>71</v>
      </c>
      <c r="B73" s="1" t="str">
        <f ca="1">IFERROR(__xludf.DUMMYFUNCTION("""COMPUTED_VALUE"""),"Colin Watson")</f>
        <v>Colin Watson</v>
      </c>
      <c r="C73" s="1" t="str">
        <f ca="1">IFERROR(__xludf.DUMMYFUNCTION("""COMPUTED_VALUE"""),"M55")</f>
        <v>M55</v>
      </c>
      <c r="D73" s="1" t="str">
        <f ca="1">IFERROR(__xludf.DUMMYFUNCTION("""COMPUTED_VALUE"""),"Dromore AC")</f>
        <v>Dromore AC</v>
      </c>
      <c r="E73" s="3">
        <f ca="1">IFERROR(__xludf.DUMMYFUNCTION("""COMPUTED_VALUE"""),0.015324074074074)</f>
        <v>1.5324074074074E-2</v>
      </c>
      <c r="F73" s="1" t="str">
        <f ca="1">IFERROR(__xludf.DUMMYFUNCTION("""COMPUTED_VALUE""")," ")</f>
        <v xml:space="preserve"> </v>
      </c>
      <c r="G73" s="1" t="str">
        <f ca="1">IFERROR(__xludf.DUMMYFUNCTION("""COMPUTED_VALUE""")," ")</f>
        <v xml:space="preserve"> </v>
      </c>
      <c r="H73" s="1" t="str">
        <f ca="1">IFERROR(__xludf.DUMMYFUNCTION("""COMPUTED_VALUE""")," ")</f>
        <v xml:space="preserve"> </v>
      </c>
      <c r="I73" s="1" t="str">
        <f ca="1">IFERROR(__xludf.DUMMYFUNCTION("""COMPUTED_VALUE""")," ")</f>
        <v xml:space="preserve"> </v>
      </c>
      <c r="J73" s="1" t="str">
        <f ca="1">IFERROR(__xludf.DUMMYFUNCTION("""COMPUTED_VALUE""")," ")</f>
        <v xml:space="preserve"> </v>
      </c>
      <c r="K73" s="1">
        <f ca="1">IFERROR(__xludf.DUMMYFUNCTION("""COMPUTED_VALUE"""),71)</f>
        <v>71</v>
      </c>
      <c r="L73" s="1" t="str">
        <f ca="1">IFERROR(__xludf.DUMMYFUNCTION("""COMPUTED_VALUE"""),"Megan Rodgers")</f>
        <v>Megan Rodgers</v>
      </c>
      <c r="M73" s="1" t="str">
        <f ca="1">IFERROR(__xludf.DUMMYFUNCTION("""COMPUTED_VALUE"""),"FO")</f>
        <v>FO</v>
      </c>
      <c r="N73" s="1" t="str">
        <f ca="1">IFERROR(__xludf.DUMMYFUNCTION("""COMPUTED_VALUE"""),"Newcastle &amp; District AC")</f>
        <v>Newcastle &amp; District AC</v>
      </c>
      <c r="O73" s="3">
        <f ca="1">IFERROR(__xludf.DUMMYFUNCTION("""COMPUTED_VALUE"""),0.0167592592592592)</f>
        <v>1.6759259259259199E-2</v>
      </c>
      <c r="P73" s="1">
        <f ca="1">IFERROR(__xludf.DUMMYFUNCTION("""COMPUTED_VALUE"""),71)</f>
        <v>71</v>
      </c>
      <c r="Q73" s="1" t="str">
        <f ca="1">IFERROR(__xludf.DUMMYFUNCTION("""COMPUTED_VALUE"""),"Hannah Morris")</f>
        <v>Hannah Morris</v>
      </c>
      <c r="R73" s="1" t="str">
        <f ca="1">IFERROR(__xludf.DUMMYFUNCTION("""COMPUTED_VALUE"""),"U15G")</f>
        <v>U15G</v>
      </c>
      <c r="S73" s="1" t="str">
        <f ca="1">IFERROR(__xludf.DUMMYFUNCTION("""COMPUTED_VALUE"""),"East Down AC")</f>
        <v>East Down AC</v>
      </c>
      <c r="T73" s="3">
        <f ca="1">IFERROR(__xludf.DUMMYFUNCTION("""COMPUTED_VALUE"""),0.0124074074074074)</f>
        <v>1.24074074074074E-2</v>
      </c>
      <c r="U73" s="1">
        <f ca="1">IFERROR(__xludf.DUMMYFUNCTION("""COMPUTED_VALUE"""),71)</f>
        <v>71</v>
      </c>
      <c r="V73" s="1" t="str">
        <f ca="1">IFERROR(__xludf.DUMMYFUNCTION("""COMPUTED_VALUE"""),"Michael McAuley")</f>
        <v>Michael McAuley</v>
      </c>
      <c r="W73" s="1" t="str">
        <f ca="1">IFERROR(__xludf.DUMMYFUNCTION("""COMPUTED_VALUE"""),"M40")</f>
        <v>M40</v>
      </c>
      <c r="X73" s="1" t="str">
        <f ca="1">IFERROR(__xludf.DUMMYFUNCTION("""COMPUTED_VALUE"""),"Mallusk Harriers")</f>
        <v>Mallusk Harriers</v>
      </c>
      <c r="Y73" s="3">
        <f ca="1">IFERROR(__xludf.DUMMYFUNCTION("""COMPUTED_VALUE"""),0.0190856481481481)</f>
        <v>1.9085648148148102E-2</v>
      </c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>
        <f ca="1">IFERROR(__xludf.DUMMYFUNCTION("""COMPUTED_VALUE"""),16)</f>
        <v>16</v>
      </c>
      <c r="BI73" s="1" t="str">
        <f ca="1">IFERROR(__xludf.DUMMYFUNCTION("""COMPUTED_VALUE"""),"Orangegrove AC")</f>
        <v>Orangegrove AC</v>
      </c>
      <c r="BJ73" s="1">
        <f ca="1">IFERROR(__xludf.DUMMYFUNCTION("""COMPUTED_VALUE"""),458)</f>
        <v>458</v>
      </c>
    </row>
    <row r="74" spans="1:62" x14ac:dyDescent="0.25">
      <c r="A74" s="1">
        <f ca="1">IFERROR(__xludf.DUMMYFUNCTION("""COMPUTED_VALUE"""),72)</f>
        <v>72</v>
      </c>
      <c r="B74" s="1" t="str">
        <f ca="1">IFERROR(__xludf.DUMMYFUNCTION("""COMPUTED_VALUE"""),"Pat Rocks")</f>
        <v>Pat Rocks</v>
      </c>
      <c r="C74" s="1" t="str">
        <f ca="1">IFERROR(__xludf.DUMMYFUNCTION("""COMPUTED_VALUE"""),"M65")</f>
        <v>M65</v>
      </c>
      <c r="D74" s="1" t="str">
        <f ca="1">IFERROR(__xludf.DUMMYFUNCTION("""COMPUTED_VALUE"""),"Newry City Runners AC")</f>
        <v>Newry City Runners AC</v>
      </c>
      <c r="E74" s="3">
        <f ca="1">IFERROR(__xludf.DUMMYFUNCTION("""COMPUTED_VALUE"""),0.0153356481481481)</f>
        <v>1.53356481481481E-2</v>
      </c>
      <c r="F74" s="1" t="str">
        <f ca="1">IFERROR(__xludf.DUMMYFUNCTION("""COMPUTED_VALUE""")," ")</f>
        <v xml:space="preserve"> </v>
      </c>
      <c r="G74" s="1" t="str">
        <f ca="1">IFERROR(__xludf.DUMMYFUNCTION("""COMPUTED_VALUE""")," ")</f>
        <v xml:space="preserve"> </v>
      </c>
      <c r="H74" s="1" t="str">
        <f ca="1">IFERROR(__xludf.DUMMYFUNCTION("""COMPUTED_VALUE""")," ")</f>
        <v xml:space="preserve"> </v>
      </c>
      <c r="I74" s="1" t="str">
        <f ca="1">IFERROR(__xludf.DUMMYFUNCTION("""COMPUTED_VALUE""")," ")</f>
        <v xml:space="preserve"> </v>
      </c>
      <c r="J74" s="1" t="str">
        <f ca="1">IFERROR(__xludf.DUMMYFUNCTION("""COMPUTED_VALUE""")," ")</f>
        <v xml:space="preserve"> </v>
      </c>
      <c r="K74" s="1">
        <f ca="1">IFERROR(__xludf.DUMMYFUNCTION("""COMPUTED_VALUE"""),72)</f>
        <v>72</v>
      </c>
      <c r="L74" s="1" t="str">
        <f ca="1">IFERROR(__xludf.DUMMYFUNCTION("""COMPUTED_VALUE"""),"Barbara McKechnie")</f>
        <v>Barbara McKechnie</v>
      </c>
      <c r="M74" s="1" t="str">
        <f ca="1">IFERROR(__xludf.DUMMYFUNCTION("""COMPUTED_VALUE"""),"F50")</f>
        <v>F50</v>
      </c>
      <c r="N74" s="1" t="str">
        <f ca="1">IFERROR(__xludf.DUMMYFUNCTION("""COMPUTED_VALUE"""),"Scrabo Striders")</f>
        <v>Scrabo Striders</v>
      </c>
      <c r="O74" s="3">
        <f ca="1">IFERROR(__xludf.DUMMYFUNCTION("""COMPUTED_VALUE"""),0.0167708333333333)</f>
        <v>1.6770833333333301E-2</v>
      </c>
      <c r="P74" s="1">
        <f ca="1">IFERROR(__xludf.DUMMYFUNCTION("""COMPUTED_VALUE"""),72)</f>
        <v>72</v>
      </c>
      <c r="Q74" s="1" t="str">
        <f ca="1">IFERROR(__xludf.DUMMYFUNCTION("""COMPUTED_VALUE"""),"Anna Bittles")</f>
        <v>Anna Bittles</v>
      </c>
      <c r="R74" s="1" t="str">
        <f ca="1">IFERROR(__xludf.DUMMYFUNCTION("""COMPUTED_VALUE"""),"U15G")</f>
        <v>U15G</v>
      </c>
      <c r="S74" s="1" t="str">
        <f ca="1">IFERROR(__xludf.DUMMYFUNCTION("""COMPUTED_VALUE"""),"Beechmount Harriers")</f>
        <v>Beechmount Harriers</v>
      </c>
      <c r="T74" s="3">
        <f ca="1">IFERROR(__xludf.DUMMYFUNCTION("""COMPUTED_VALUE"""),0.0126736111111111)</f>
        <v>1.2673611111111101E-2</v>
      </c>
      <c r="U74" s="1">
        <f ca="1">IFERROR(__xludf.DUMMYFUNCTION("""COMPUTED_VALUE"""),72)</f>
        <v>72</v>
      </c>
      <c r="V74" s="1" t="str">
        <f ca="1">IFERROR(__xludf.DUMMYFUNCTION("""COMPUTED_VALUE"""),"Chris Rafferty")</f>
        <v>Chris Rafferty</v>
      </c>
      <c r="W74" s="1" t="str">
        <f ca="1">IFERROR(__xludf.DUMMYFUNCTION("""COMPUTED_VALUE"""),"M40")</f>
        <v>M40</v>
      </c>
      <c r="X74" s="1" t="str">
        <f ca="1">IFERROR(__xludf.DUMMYFUNCTION("""COMPUTED_VALUE"""),"Armagh AC")</f>
        <v>Armagh AC</v>
      </c>
      <c r="Y74" s="3">
        <f ca="1">IFERROR(__xludf.DUMMYFUNCTION("""COMPUTED_VALUE"""),0.0191087962962962)</f>
        <v>1.91087962962962E-2</v>
      </c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 t="str">
        <f ca="1">IFERROR(__xludf.DUMMYFUNCTION("""COMPUTED_VALUE""")," ")</f>
        <v xml:space="preserve"> </v>
      </c>
      <c r="BI74" s="1" t="str">
        <f ca="1">IFERROR(__xludf.DUMMYFUNCTION("""COMPUTED_VALUE""")," ")</f>
        <v xml:space="preserve"> </v>
      </c>
      <c r="BJ74" s="1" t="str">
        <f ca="1">IFERROR(__xludf.DUMMYFUNCTION("""COMPUTED_VALUE""")," ")</f>
        <v xml:space="preserve"> </v>
      </c>
    </row>
    <row r="75" spans="1:62" x14ac:dyDescent="0.25">
      <c r="A75" s="1">
        <f ca="1">IFERROR(__xludf.DUMMYFUNCTION("""COMPUTED_VALUE"""),73)</f>
        <v>73</v>
      </c>
      <c r="B75" s="1" t="str">
        <f ca="1">IFERROR(__xludf.DUMMYFUNCTION("""COMPUTED_VALUE"""),"Dom Dorris")</f>
        <v>Dom Dorris</v>
      </c>
      <c r="C75" s="1" t="str">
        <f ca="1">IFERROR(__xludf.DUMMYFUNCTION("""COMPUTED_VALUE"""),"M45")</f>
        <v>M45</v>
      </c>
      <c r="D75" s="1" t="str">
        <f ca="1">IFERROR(__xludf.DUMMYFUNCTION("""COMPUTED_VALUE"""),"AthleticsNI Unattached")</f>
        <v>AthleticsNI Unattached</v>
      </c>
      <c r="E75" s="3">
        <f ca="1">IFERROR(__xludf.DUMMYFUNCTION("""COMPUTED_VALUE"""),0.0155555555555555)</f>
        <v>1.55555555555555E-2</v>
      </c>
      <c r="F75" s="1" t="str">
        <f ca="1">IFERROR(__xludf.DUMMYFUNCTION("""COMPUTED_VALUE""")," ")</f>
        <v xml:space="preserve"> </v>
      </c>
      <c r="G75" s="1" t="str">
        <f ca="1">IFERROR(__xludf.DUMMYFUNCTION("""COMPUTED_VALUE""")," ")</f>
        <v xml:space="preserve"> </v>
      </c>
      <c r="H75" s="1" t="str">
        <f ca="1">IFERROR(__xludf.DUMMYFUNCTION("""COMPUTED_VALUE""")," ")</f>
        <v xml:space="preserve"> </v>
      </c>
      <c r="I75" s="1" t="str">
        <f ca="1">IFERROR(__xludf.DUMMYFUNCTION("""COMPUTED_VALUE""")," ")</f>
        <v xml:space="preserve"> </v>
      </c>
      <c r="J75" s="1" t="str">
        <f ca="1">IFERROR(__xludf.DUMMYFUNCTION("""COMPUTED_VALUE""")," ")</f>
        <v xml:space="preserve"> </v>
      </c>
      <c r="K75" s="1">
        <f ca="1">IFERROR(__xludf.DUMMYFUNCTION("""COMPUTED_VALUE"""),73)</f>
        <v>73</v>
      </c>
      <c r="L75" s="1" t="str">
        <f ca="1">IFERROR(__xludf.DUMMYFUNCTION("""COMPUTED_VALUE"""),"Debbie Wells")</f>
        <v>Debbie Wells</v>
      </c>
      <c r="M75" s="1" t="str">
        <f ca="1">IFERROR(__xludf.DUMMYFUNCTION("""COMPUTED_VALUE"""),"F50")</f>
        <v>F50</v>
      </c>
      <c r="N75" s="1" t="str">
        <f ca="1">IFERROR(__xludf.DUMMYFUNCTION("""COMPUTED_VALUE"""),"Willowfield Harriers")</f>
        <v>Willowfield Harriers</v>
      </c>
      <c r="O75" s="3">
        <f ca="1">IFERROR(__xludf.DUMMYFUNCTION("""COMPUTED_VALUE"""),0.0167939814814814)</f>
        <v>1.6793981481481399E-2</v>
      </c>
      <c r="P75" s="1">
        <f ca="1">IFERROR(__xludf.DUMMYFUNCTION("""COMPUTED_VALUE"""),73)</f>
        <v>73</v>
      </c>
      <c r="Q75" s="1" t="str">
        <f ca="1">IFERROR(__xludf.DUMMYFUNCTION("""COMPUTED_VALUE"""),"Poppy Ferguson")</f>
        <v>Poppy Ferguson</v>
      </c>
      <c r="R75" s="1" t="str">
        <f ca="1">IFERROR(__xludf.DUMMYFUNCTION("""COMPUTED_VALUE"""),"U15G")</f>
        <v>U15G</v>
      </c>
      <c r="S75" s="1" t="str">
        <f ca="1">IFERROR(__xludf.DUMMYFUNCTION("""COMPUTED_VALUE"""),"East Down AC")</f>
        <v>East Down AC</v>
      </c>
      <c r="T75" s="3">
        <f ca="1">IFERROR(__xludf.DUMMYFUNCTION("""COMPUTED_VALUE"""),0.0128472222222222)</f>
        <v>1.2847222222222201E-2</v>
      </c>
      <c r="U75" s="1">
        <f ca="1">IFERROR(__xludf.DUMMYFUNCTION("""COMPUTED_VALUE"""),73)</f>
        <v>73</v>
      </c>
      <c r="V75" s="1" t="str">
        <f ca="1">IFERROR(__xludf.DUMMYFUNCTION("""COMPUTED_VALUE"""),"Sean Terrek")</f>
        <v>Sean Terrek</v>
      </c>
      <c r="W75" s="1" t="str">
        <f ca="1">IFERROR(__xludf.DUMMYFUNCTION("""COMPUTED_VALUE"""),"MO")</f>
        <v>MO</v>
      </c>
      <c r="X75" s="1" t="str">
        <f ca="1">IFERROR(__xludf.DUMMYFUNCTION("""COMPUTED_VALUE"""),"Queen's University")</f>
        <v>Queen's University</v>
      </c>
      <c r="Y75" s="3">
        <f ca="1">IFERROR(__xludf.DUMMYFUNCTION("""COMPUTED_VALUE"""),0.0192129629629629)</f>
        <v>1.92129629629629E-2</v>
      </c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 t="str">
        <f ca="1">IFERROR(__xludf.DUMMYFUNCTION("""COMPUTED_VALUE""")," ")</f>
        <v xml:space="preserve"> </v>
      </c>
      <c r="BI75" s="1" t="str">
        <f ca="1">IFERROR(__xludf.DUMMYFUNCTION("""COMPUTED_VALUE""")," ")</f>
        <v xml:space="preserve"> </v>
      </c>
      <c r="BJ75" s="1" t="str">
        <f ca="1">IFERROR(__xludf.DUMMYFUNCTION("""COMPUTED_VALUE""")," ")</f>
        <v xml:space="preserve"> </v>
      </c>
    </row>
    <row r="76" spans="1:62" x14ac:dyDescent="0.25">
      <c r="A76" s="1">
        <f ca="1">IFERROR(__xludf.DUMMYFUNCTION("""COMPUTED_VALUE"""),74)</f>
        <v>74</v>
      </c>
      <c r="B76" s="1" t="str">
        <f ca="1">IFERROR(__xludf.DUMMYFUNCTION("""COMPUTED_VALUE"""),"Wilson McAlister")</f>
        <v>Wilson McAlister</v>
      </c>
      <c r="C76" s="1" t="str">
        <f ca="1">IFERROR(__xludf.DUMMYFUNCTION("""COMPUTED_VALUE"""),"M60")</f>
        <v>M60</v>
      </c>
      <c r="D76" s="1" t="str">
        <f ca="1">IFERROR(__xludf.DUMMYFUNCTION("""COMPUTED_VALUE"""),"Jog Moira")</f>
        <v>Jog Moira</v>
      </c>
      <c r="E76" s="3">
        <f ca="1">IFERROR(__xludf.DUMMYFUNCTION("""COMPUTED_VALUE"""),0.0155787037037037)</f>
        <v>1.5578703703703701E-2</v>
      </c>
      <c r="F76" s="1" t="str">
        <f ca="1">IFERROR(__xludf.DUMMYFUNCTION("""COMPUTED_VALUE""")," ")</f>
        <v xml:space="preserve"> </v>
      </c>
      <c r="G76" s="1" t="str">
        <f ca="1">IFERROR(__xludf.DUMMYFUNCTION("""COMPUTED_VALUE""")," ")</f>
        <v xml:space="preserve"> </v>
      </c>
      <c r="H76" s="1" t="str">
        <f ca="1">IFERROR(__xludf.DUMMYFUNCTION("""COMPUTED_VALUE""")," ")</f>
        <v xml:space="preserve"> </v>
      </c>
      <c r="I76" s="1" t="str">
        <f ca="1">IFERROR(__xludf.DUMMYFUNCTION("""COMPUTED_VALUE""")," ")</f>
        <v xml:space="preserve"> </v>
      </c>
      <c r="J76" s="1" t="str">
        <f ca="1">IFERROR(__xludf.DUMMYFUNCTION("""COMPUTED_VALUE""")," ")</f>
        <v xml:space="preserve"> </v>
      </c>
      <c r="K76" s="1">
        <f ca="1">IFERROR(__xludf.DUMMYFUNCTION("""COMPUTED_VALUE"""),74)</f>
        <v>74</v>
      </c>
      <c r="L76" s="1" t="str">
        <f ca="1">IFERROR(__xludf.DUMMYFUNCTION("""COMPUTED_VALUE"""),"Karen McWilliams")</f>
        <v>Karen McWilliams</v>
      </c>
      <c r="M76" s="1" t="str">
        <f ca="1">IFERROR(__xludf.DUMMYFUNCTION("""COMPUTED_VALUE"""),"F45")</f>
        <v>F45</v>
      </c>
      <c r="N76" s="1" t="str">
        <f ca="1">IFERROR(__xludf.DUMMYFUNCTION("""COMPUTED_VALUE"""),"Ballydrain Harriers")</f>
        <v>Ballydrain Harriers</v>
      </c>
      <c r="O76" s="3">
        <f ca="1">IFERROR(__xludf.DUMMYFUNCTION("""COMPUTED_VALUE"""),0.0169444444444444)</f>
        <v>1.6944444444444401E-2</v>
      </c>
      <c r="P76" s="1">
        <f ca="1">IFERROR(__xludf.DUMMYFUNCTION("""COMPUTED_VALUE"""),74)</f>
        <v>74</v>
      </c>
      <c r="Q76" s="1" t="str">
        <f ca="1">IFERROR(__xludf.DUMMYFUNCTION("""COMPUTED_VALUE"""),"Finn Loughlin")</f>
        <v>Finn Loughlin</v>
      </c>
      <c r="R76" s="1" t="str">
        <f ca="1">IFERROR(__xludf.DUMMYFUNCTION("""COMPUTED_VALUE"""),"U15B")</f>
        <v>U15B</v>
      </c>
      <c r="S76" s="1" t="str">
        <f ca="1">IFERROR(__xludf.DUMMYFUNCTION("""COMPUTED_VALUE"""),"Scrabo Striders")</f>
        <v>Scrabo Striders</v>
      </c>
      <c r="T76" s="3">
        <f ca="1">IFERROR(__xludf.DUMMYFUNCTION("""COMPUTED_VALUE"""),0.0141550925925925)</f>
        <v>1.41550925925925E-2</v>
      </c>
      <c r="U76" s="1">
        <f ca="1">IFERROR(__xludf.DUMMYFUNCTION("""COMPUTED_VALUE"""),74)</f>
        <v>74</v>
      </c>
      <c r="V76" s="1" t="str">
        <f ca="1">IFERROR(__xludf.DUMMYFUNCTION("""COMPUTED_VALUE"""),"Jonny Carson")</f>
        <v>Jonny Carson</v>
      </c>
      <c r="W76" s="1" t="str">
        <f ca="1">IFERROR(__xludf.DUMMYFUNCTION("""COMPUTED_VALUE"""),"M35")</f>
        <v>M35</v>
      </c>
      <c r="X76" s="1" t="str">
        <f ca="1">IFERROR(__xludf.DUMMYFUNCTION("""COMPUTED_VALUE"""),"Acorns AC")</f>
        <v>Acorns AC</v>
      </c>
      <c r="Y76" s="3">
        <f ca="1">IFERROR(__xludf.DUMMYFUNCTION("""COMPUTED_VALUE"""),0.0192476851851851)</f>
        <v>1.92476851851851E-2</v>
      </c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 t="str">
        <f ca="1">IFERROR(__xludf.DUMMYFUNCTION("""COMPUTED_VALUE""")," ")</f>
        <v xml:space="preserve"> </v>
      </c>
      <c r="BI76" s="1" t="str">
        <f ca="1">IFERROR(__xludf.DUMMYFUNCTION("""COMPUTED_VALUE""")," ")</f>
        <v xml:space="preserve"> </v>
      </c>
      <c r="BJ76" s="1" t="str">
        <f ca="1">IFERROR(__xludf.DUMMYFUNCTION("""COMPUTED_VALUE""")," ")</f>
        <v xml:space="preserve"> </v>
      </c>
    </row>
    <row r="77" spans="1:62" x14ac:dyDescent="0.25">
      <c r="A77" s="1">
        <f ca="1">IFERROR(__xludf.DUMMYFUNCTION("""COMPUTED_VALUE"""),75)</f>
        <v>75</v>
      </c>
      <c r="B77" s="1" t="str">
        <f ca="1">IFERROR(__xludf.DUMMYFUNCTION("""COMPUTED_VALUE"""),"Ernest Hall")</f>
        <v>Ernest Hall</v>
      </c>
      <c r="C77" s="1" t="str">
        <f ca="1">IFERROR(__xludf.DUMMYFUNCTION("""COMPUTED_VALUE"""),"M70")</f>
        <v>M70</v>
      </c>
      <c r="D77" s="1" t="str">
        <f ca="1">IFERROR(__xludf.DUMMYFUNCTION("""COMPUTED_VALUE"""),"Newcastle &amp; District AC")</f>
        <v>Newcastle &amp; District AC</v>
      </c>
      <c r="E77" s="3">
        <f ca="1">IFERROR(__xludf.DUMMYFUNCTION("""COMPUTED_VALUE"""),0.0156018518518518)</f>
        <v>1.5601851851851801E-2</v>
      </c>
      <c r="F77" s="1" t="str">
        <f ca="1">IFERROR(__xludf.DUMMYFUNCTION("""COMPUTED_VALUE""")," ")</f>
        <v xml:space="preserve"> </v>
      </c>
      <c r="G77" s="1" t="str">
        <f ca="1">IFERROR(__xludf.DUMMYFUNCTION("""COMPUTED_VALUE""")," ")</f>
        <v xml:space="preserve"> </v>
      </c>
      <c r="H77" s="1" t="str">
        <f ca="1">IFERROR(__xludf.DUMMYFUNCTION("""COMPUTED_VALUE""")," ")</f>
        <v xml:space="preserve"> </v>
      </c>
      <c r="I77" s="1" t="str">
        <f ca="1">IFERROR(__xludf.DUMMYFUNCTION("""COMPUTED_VALUE""")," ")</f>
        <v xml:space="preserve"> </v>
      </c>
      <c r="J77" s="1" t="str">
        <f ca="1">IFERROR(__xludf.DUMMYFUNCTION("""COMPUTED_VALUE""")," ")</f>
        <v xml:space="preserve"> </v>
      </c>
      <c r="K77" s="1">
        <f ca="1">IFERROR(__xludf.DUMMYFUNCTION("""COMPUTED_VALUE"""),75)</f>
        <v>75</v>
      </c>
      <c r="L77" s="1" t="str">
        <f ca="1">IFERROR(__xludf.DUMMYFUNCTION("""COMPUTED_VALUE"""),"Nicola White")</f>
        <v>Nicola White</v>
      </c>
      <c r="M77" s="1" t="str">
        <f ca="1">IFERROR(__xludf.DUMMYFUNCTION("""COMPUTED_VALUE"""),"F45")</f>
        <v>F45</v>
      </c>
      <c r="N77" s="1" t="str">
        <f ca="1">IFERROR(__xludf.DUMMYFUNCTION("""COMPUTED_VALUE"""),"Jog Lisburn Running Club")</f>
        <v>Jog Lisburn Running Club</v>
      </c>
      <c r="O77" s="3">
        <f ca="1">IFERROR(__xludf.DUMMYFUNCTION("""COMPUTED_VALUE"""),0.0170023148148148)</f>
        <v>1.70023148148148E-2</v>
      </c>
      <c r="P77" s="1" t="str">
        <f ca="1">IFERROR(__xludf.DUMMYFUNCTION("""COMPUTED_VALUE""")," ")</f>
        <v xml:space="preserve"> </v>
      </c>
      <c r="Q77" s="1" t="str">
        <f ca="1">IFERROR(__xludf.DUMMYFUNCTION("""COMPUTED_VALUE""")," ")</f>
        <v xml:space="preserve"> </v>
      </c>
      <c r="R77" s="1" t="str">
        <f ca="1">IFERROR(__xludf.DUMMYFUNCTION("""COMPUTED_VALUE""")," ")</f>
        <v xml:space="preserve"> </v>
      </c>
      <c r="S77" s="1" t="str">
        <f ca="1">IFERROR(__xludf.DUMMYFUNCTION("""COMPUTED_VALUE""")," ")</f>
        <v xml:space="preserve"> </v>
      </c>
      <c r="T77" s="1" t="str">
        <f ca="1">IFERROR(__xludf.DUMMYFUNCTION("""COMPUTED_VALUE""")," ")</f>
        <v xml:space="preserve"> </v>
      </c>
      <c r="U77" s="1">
        <f ca="1">IFERROR(__xludf.DUMMYFUNCTION("""COMPUTED_VALUE"""),75)</f>
        <v>75</v>
      </c>
      <c r="V77" s="1" t="str">
        <f ca="1">IFERROR(__xludf.DUMMYFUNCTION("""COMPUTED_VALUE"""),"Robert Powell")</f>
        <v>Robert Powell</v>
      </c>
      <c r="W77" s="1" t="str">
        <f ca="1">IFERROR(__xludf.DUMMYFUNCTION("""COMPUTED_VALUE"""),"M40")</f>
        <v>M40</v>
      </c>
      <c r="X77" s="1" t="str">
        <f ca="1">IFERROR(__xludf.DUMMYFUNCTION("""COMPUTED_VALUE"""),"Victoria Park &amp; Connswater AC")</f>
        <v>Victoria Park &amp; Connswater AC</v>
      </c>
      <c r="Y77" s="3">
        <f ca="1">IFERROR(__xludf.DUMMYFUNCTION("""COMPUTED_VALUE"""),0.0192592592592592)</f>
        <v>1.9259259259259202E-2</v>
      </c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 t="str">
        <f ca="1">IFERROR(__xludf.DUMMYFUNCTION("""COMPUTED_VALUE""")," ")</f>
        <v xml:space="preserve"> </v>
      </c>
      <c r="BI77" s="1" t="str">
        <f ca="1">IFERROR(__xludf.DUMMYFUNCTION("""COMPUTED_VALUE""")," ")</f>
        <v xml:space="preserve"> </v>
      </c>
      <c r="BJ77" s="1" t="str">
        <f ca="1">IFERROR(__xludf.DUMMYFUNCTION("""COMPUTED_VALUE""")," ")</f>
        <v xml:space="preserve"> </v>
      </c>
    </row>
    <row r="78" spans="1:62" x14ac:dyDescent="0.25">
      <c r="A78" s="1">
        <f ca="1">IFERROR(__xludf.DUMMYFUNCTION("""COMPUTED_VALUE"""),76)</f>
        <v>76</v>
      </c>
      <c r="B78" s="1" t="str">
        <f ca="1">IFERROR(__xludf.DUMMYFUNCTION("""COMPUTED_VALUE"""),"Raymond Cameron")</f>
        <v>Raymond Cameron</v>
      </c>
      <c r="C78" s="1" t="str">
        <f ca="1">IFERROR(__xludf.DUMMYFUNCTION("""COMPUTED_VALUE"""),"M45")</f>
        <v>M45</v>
      </c>
      <c r="D78" s="1" t="str">
        <f ca="1">IFERROR(__xludf.DUMMYFUNCTION("""COMPUTED_VALUE"""),"North Belfast Harriers")</f>
        <v>North Belfast Harriers</v>
      </c>
      <c r="E78" s="3">
        <f ca="1">IFERROR(__xludf.DUMMYFUNCTION("""COMPUTED_VALUE"""),0.0156828703703703)</f>
        <v>1.5682870370370298E-2</v>
      </c>
      <c r="F78" s="1" t="str">
        <f ca="1">IFERROR(__xludf.DUMMYFUNCTION("""COMPUTED_VALUE""")," ")</f>
        <v xml:space="preserve"> </v>
      </c>
      <c r="G78" s="1" t="str">
        <f ca="1">IFERROR(__xludf.DUMMYFUNCTION("""COMPUTED_VALUE""")," ")</f>
        <v xml:space="preserve"> </v>
      </c>
      <c r="H78" s="1" t="str">
        <f ca="1">IFERROR(__xludf.DUMMYFUNCTION("""COMPUTED_VALUE""")," ")</f>
        <v xml:space="preserve"> </v>
      </c>
      <c r="I78" s="1" t="str">
        <f ca="1">IFERROR(__xludf.DUMMYFUNCTION("""COMPUTED_VALUE""")," ")</f>
        <v xml:space="preserve"> </v>
      </c>
      <c r="J78" s="1" t="str">
        <f ca="1">IFERROR(__xludf.DUMMYFUNCTION("""COMPUTED_VALUE""")," ")</f>
        <v xml:space="preserve"> </v>
      </c>
      <c r="K78" s="1">
        <f ca="1">IFERROR(__xludf.DUMMYFUNCTION("""COMPUTED_VALUE"""),76)</f>
        <v>76</v>
      </c>
      <c r="L78" s="1" t="str">
        <f ca="1">IFERROR(__xludf.DUMMYFUNCTION("""COMPUTED_VALUE"""),"Andrea Thompson")</f>
        <v>Andrea Thompson</v>
      </c>
      <c r="M78" s="1" t="str">
        <f ca="1">IFERROR(__xludf.DUMMYFUNCTION("""COMPUTED_VALUE"""),"F40")</f>
        <v>F40</v>
      </c>
      <c r="N78" s="1" t="str">
        <f ca="1">IFERROR(__xludf.DUMMYFUNCTION("""COMPUTED_VALUE"""),"Scrabo Striders")</f>
        <v>Scrabo Striders</v>
      </c>
      <c r="O78" s="3">
        <f ca="1">IFERROR(__xludf.DUMMYFUNCTION("""COMPUTED_VALUE"""),0.0170254629629629)</f>
        <v>1.7025462962962899E-2</v>
      </c>
      <c r="P78" s="1" t="str">
        <f ca="1">IFERROR(__xludf.DUMMYFUNCTION("""COMPUTED_VALUE""")," ")</f>
        <v xml:space="preserve"> </v>
      </c>
      <c r="Q78" s="1" t="str">
        <f ca="1">IFERROR(__xludf.DUMMYFUNCTION("""COMPUTED_VALUE""")," ")</f>
        <v xml:space="preserve"> </v>
      </c>
      <c r="R78" s="1" t="str">
        <f ca="1">IFERROR(__xludf.DUMMYFUNCTION("""COMPUTED_VALUE""")," ")</f>
        <v xml:space="preserve"> </v>
      </c>
      <c r="S78" s="1" t="str">
        <f ca="1">IFERROR(__xludf.DUMMYFUNCTION("""COMPUTED_VALUE""")," ")</f>
        <v xml:space="preserve"> </v>
      </c>
      <c r="T78" s="1" t="str">
        <f ca="1">IFERROR(__xludf.DUMMYFUNCTION("""COMPUTED_VALUE""")," ")</f>
        <v xml:space="preserve"> </v>
      </c>
      <c r="U78" s="1">
        <f ca="1">IFERROR(__xludf.DUMMYFUNCTION("""COMPUTED_VALUE"""),76)</f>
        <v>76</v>
      </c>
      <c r="V78" s="1" t="str">
        <f ca="1">IFERROR(__xludf.DUMMYFUNCTION("""COMPUTED_VALUE"""),"Cathal McLeod")</f>
        <v>Cathal McLeod</v>
      </c>
      <c r="W78" s="1" t="str">
        <f ca="1">IFERROR(__xludf.DUMMYFUNCTION("""COMPUTED_VALUE"""),"M35")</f>
        <v>M35</v>
      </c>
      <c r="X78" s="1" t="str">
        <f ca="1">IFERROR(__xludf.DUMMYFUNCTION("""COMPUTED_VALUE"""),"Armagh AC")</f>
        <v>Armagh AC</v>
      </c>
      <c r="Y78" s="3">
        <f ca="1">IFERROR(__xludf.DUMMYFUNCTION("""COMPUTED_VALUE"""),0.0192824074074074)</f>
        <v>1.9282407407407401E-2</v>
      </c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 t="str">
        <f ca="1">IFERROR(__xludf.DUMMYFUNCTION("""COMPUTED_VALUE""")," ")</f>
        <v xml:space="preserve"> </v>
      </c>
      <c r="BI78" s="1" t="str">
        <f ca="1">IFERROR(__xludf.DUMMYFUNCTION("""COMPUTED_VALUE""")," ")</f>
        <v xml:space="preserve"> </v>
      </c>
      <c r="BJ78" s="1" t="str">
        <f ca="1">IFERROR(__xludf.DUMMYFUNCTION("""COMPUTED_VALUE""")," ")</f>
        <v xml:space="preserve"> </v>
      </c>
    </row>
    <row r="79" spans="1:62" x14ac:dyDescent="0.25">
      <c r="A79" s="1">
        <f ca="1">IFERROR(__xludf.DUMMYFUNCTION("""COMPUTED_VALUE"""),77)</f>
        <v>77</v>
      </c>
      <c r="B79" s="1" t="str">
        <f ca="1">IFERROR(__xludf.DUMMYFUNCTION("""COMPUTED_VALUE"""),"Trevor Wilson")</f>
        <v>Trevor Wilson</v>
      </c>
      <c r="C79" s="1" t="str">
        <f ca="1">IFERROR(__xludf.DUMMYFUNCTION("""COMPUTED_VALUE"""),"M60")</f>
        <v>M60</v>
      </c>
      <c r="D79" s="1" t="str">
        <f ca="1">IFERROR(__xludf.DUMMYFUNCTION("""COMPUTED_VALUE"""),"Lagan Valley AC")</f>
        <v>Lagan Valley AC</v>
      </c>
      <c r="E79" s="3">
        <f ca="1">IFERROR(__xludf.DUMMYFUNCTION("""COMPUTED_VALUE"""),0.0157754629629629)</f>
        <v>1.5775462962962901E-2</v>
      </c>
      <c r="F79" s="1" t="str">
        <f ca="1">IFERROR(__xludf.DUMMYFUNCTION("""COMPUTED_VALUE""")," ")</f>
        <v xml:space="preserve"> </v>
      </c>
      <c r="G79" s="1" t="str">
        <f ca="1">IFERROR(__xludf.DUMMYFUNCTION("""COMPUTED_VALUE""")," ")</f>
        <v xml:space="preserve"> </v>
      </c>
      <c r="H79" s="1" t="str">
        <f ca="1">IFERROR(__xludf.DUMMYFUNCTION("""COMPUTED_VALUE""")," ")</f>
        <v xml:space="preserve"> </v>
      </c>
      <c r="I79" s="1" t="str">
        <f ca="1">IFERROR(__xludf.DUMMYFUNCTION("""COMPUTED_VALUE""")," ")</f>
        <v xml:space="preserve"> </v>
      </c>
      <c r="J79" s="1" t="str">
        <f ca="1">IFERROR(__xludf.DUMMYFUNCTION("""COMPUTED_VALUE""")," ")</f>
        <v xml:space="preserve"> </v>
      </c>
      <c r="K79" s="1">
        <f ca="1">IFERROR(__xludf.DUMMYFUNCTION("""COMPUTED_VALUE"""),77)</f>
        <v>77</v>
      </c>
      <c r="L79" s="1" t="str">
        <f ca="1">IFERROR(__xludf.DUMMYFUNCTION("""COMPUTED_VALUE"""),"Heather Watson")</f>
        <v>Heather Watson</v>
      </c>
      <c r="M79" s="1" t="str">
        <f ca="1">IFERROR(__xludf.DUMMYFUNCTION("""COMPUTED_VALUE"""),"F40")</f>
        <v>F40</v>
      </c>
      <c r="N79" s="1" t="str">
        <f ca="1">IFERROR(__xludf.DUMMYFUNCTION("""COMPUTED_VALUE"""),"Willowfield Harriers")</f>
        <v>Willowfield Harriers</v>
      </c>
      <c r="O79" s="3">
        <f ca="1">IFERROR(__xludf.DUMMYFUNCTION("""COMPUTED_VALUE"""),0.0170717592592592)</f>
        <v>1.70717592592592E-2</v>
      </c>
      <c r="P79" s="1" t="str">
        <f ca="1">IFERROR(__xludf.DUMMYFUNCTION("""COMPUTED_VALUE""")," ")</f>
        <v xml:space="preserve"> </v>
      </c>
      <c r="Q79" s="1" t="str">
        <f ca="1">IFERROR(__xludf.DUMMYFUNCTION("""COMPUTED_VALUE""")," ")</f>
        <v xml:space="preserve"> </v>
      </c>
      <c r="R79" s="1" t="str">
        <f ca="1">IFERROR(__xludf.DUMMYFUNCTION("""COMPUTED_VALUE""")," ")</f>
        <v xml:space="preserve"> </v>
      </c>
      <c r="S79" s="1" t="str">
        <f ca="1">IFERROR(__xludf.DUMMYFUNCTION("""COMPUTED_VALUE""")," ")</f>
        <v xml:space="preserve"> </v>
      </c>
      <c r="T79" s="1" t="str">
        <f ca="1">IFERROR(__xludf.DUMMYFUNCTION("""COMPUTED_VALUE""")," ")</f>
        <v xml:space="preserve"> </v>
      </c>
      <c r="U79" s="1">
        <f ca="1">IFERROR(__xludf.DUMMYFUNCTION("""COMPUTED_VALUE"""),77)</f>
        <v>77</v>
      </c>
      <c r="V79" s="1" t="str">
        <f ca="1">IFERROR(__xludf.DUMMYFUNCTION("""COMPUTED_VALUE"""),"Colin McClements")</f>
        <v>Colin McClements</v>
      </c>
      <c r="W79" s="1" t="str">
        <f ca="1">IFERROR(__xludf.DUMMYFUNCTION("""COMPUTED_VALUE"""),"M40")</f>
        <v>M40</v>
      </c>
      <c r="X79" s="1" t="str">
        <f ca="1">IFERROR(__xludf.DUMMYFUNCTION("""COMPUTED_VALUE"""),"Ballydrain Harriers")</f>
        <v>Ballydrain Harriers</v>
      </c>
      <c r="Y79" s="3">
        <f ca="1">IFERROR(__xludf.DUMMYFUNCTION("""COMPUTED_VALUE"""),0.0193518518518518)</f>
        <v>1.9351851851851801E-2</v>
      </c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 t="str">
        <f ca="1">IFERROR(__xludf.DUMMYFUNCTION("""COMPUTED_VALUE""")," ")</f>
        <v xml:space="preserve"> </v>
      </c>
      <c r="BI79" s="1" t="str">
        <f ca="1">IFERROR(__xludf.DUMMYFUNCTION("""COMPUTED_VALUE""")," ")</f>
        <v xml:space="preserve"> </v>
      </c>
      <c r="BJ79" s="1" t="str">
        <f ca="1">IFERROR(__xludf.DUMMYFUNCTION("""COMPUTED_VALUE""")," ")</f>
        <v xml:space="preserve"> </v>
      </c>
    </row>
    <row r="80" spans="1:62" x14ac:dyDescent="0.25">
      <c r="A80" s="1">
        <f ca="1">IFERROR(__xludf.DUMMYFUNCTION("""COMPUTED_VALUE"""),78)</f>
        <v>78</v>
      </c>
      <c r="B80" s="1" t="str">
        <f ca="1">IFERROR(__xludf.DUMMYFUNCTION("""COMPUTED_VALUE"""),"Martin Rimmer")</f>
        <v>Martin Rimmer</v>
      </c>
      <c r="C80" s="1" t="str">
        <f ca="1">IFERROR(__xludf.DUMMYFUNCTION("""COMPUTED_VALUE"""),"M55")</f>
        <v>M55</v>
      </c>
      <c r="D80" s="1" t="str">
        <f ca="1">IFERROR(__xludf.DUMMYFUNCTION("""COMPUTED_VALUE"""),"Jog Moira")</f>
        <v>Jog Moira</v>
      </c>
      <c r="E80" s="3">
        <f ca="1">IFERROR(__xludf.DUMMYFUNCTION("""COMPUTED_VALUE"""),0.0162384259259259)</f>
        <v>1.6238425925925899E-2</v>
      </c>
      <c r="F80" s="1" t="str">
        <f ca="1">IFERROR(__xludf.DUMMYFUNCTION("""COMPUTED_VALUE""")," ")</f>
        <v xml:space="preserve"> </v>
      </c>
      <c r="G80" s="1" t="str">
        <f ca="1">IFERROR(__xludf.DUMMYFUNCTION("""COMPUTED_VALUE""")," ")</f>
        <v xml:space="preserve"> </v>
      </c>
      <c r="H80" s="1" t="str">
        <f ca="1">IFERROR(__xludf.DUMMYFUNCTION("""COMPUTED_VALUE""")," ")</f>
        <v xml:space="preserve"> </v>
      </c>
      <c r="I80" s="1" t="str">
        <f ca="1">IFERROR(__xludf.DUMMYFUNCTION("""COMPUTED_VALUE""")," ")</f>
        <v xml:space="preserve"> </v>
      </c>
      <c r="J80" s="1" t="str">
        <f ca="1">IFERROR(__xludf.DUMMYFUNCTION("""COMPUTED_VALUE""")," ")</f>
        <v xml:space="preserve"> </v>
      </c>
      <c r="K80" s="1">
        <f ca="1">IFERROR(__xludf.DUMMYFUNCTION("""COMPUTED_VALUE"""),78)</f>
        <v>78</v>
      </c>
      <c r="L80" s="1" t="str">
        <f ca="1">IFERROR(__xludf.DUMMYFUNCTION("""COMPUTED_VALUE"""),"Jenny Taylor")</f>
        <v>Jenny Taylor</v>
      </c>
      <c r="M80" s="1" t="str">
        <f ca="1">IFERROR(__xludf.DUMMYFUNCTION("""COMPUTED_VALUE"""),"F50")</f>
        <v>F50</v>
      </c>
      <c r="N80" s="1" t="str">
        <f ca="1">IFERROR(__xludf.DUMMYFUNCTION("""COMPUTED_VALUE"""),"Scrabo Striders")</f>
        <v>Scrabo Striders</v>
      </c>
      <c r="O80" s="3">
        <f ca="1">IFERROR(__xludf.DUMMYFUNCTION("""COMPUTED_VALUE"""),0.0171064814814814)</f>
        <v>1.71064814814814E-2</v>
      </c>
      <c r="P80" s="1" t="str">
        <f ca="1">IFERROR(__xludf.DUMMYFUNCTION("""COMPUTED_VALUE""")," ")</f>
        <v xml:space="preserve"> </v>
      </c>
      <c r="Q80" s="1" t="str">
        <f ca="1">IFERROR(__xludf.DUMMYFUNCTION("""COMPUTED_VALUE""")," ")</f>
        <v xml:space="preserve"> </v>
      </c>
      <c r="R80" s="1" t="str">
        <f ca="1">IFERROR(__xludf.DUMMYFUNCTION("""COMPUTED_VALUE""")," ")</f>
        <v xml:space="preserve"> </v>
      </c>
      <c r="S80" s="1" t="str">
        <f ca="1">IFERROR(__xludf.DUMMYFUNCTION("""COMPUTED_VALUE""")," ")</f>
        <v xml:space="preserve"> </v>
      </c>
      <c r="T80" s="1" t="str">
        <f ca="1">IFERROR(__xludf.DUMMYFUNCTION("""COMPUTED_VALUE""")," ")</f>
        <v xml:space="preserve"> </v>
      </c>
      <c r="U80" s="1">
        <f ca="1">IFERROR(__xludf.DUMMYFUNCTION("""COMPUTED_VALUE"""),78)</f>
        <v>78</v>
      </c>
      <c r="V80" s="1" t="str">
        <f ca="1">IFERROR(__xludf.DUMMYFUNCTION("""COMPUTED_VALUE"""),"Matthew Ward")</f>
        <v>Matthew Ward</v>
      </c>
      <c r="W80" s="1" t="str">
        <f ca="1">IFERROR(__xludf.DUMMYFUNCTION("""COMPUTED_VALUE"""),"MO")</f>
        <v>MO</v>
      </c>
      <c r="X80" s="1" t="str">
        <f ca="1">IFERROR(__xludf.DUMMYFUNCTION("""COMPUTED_VALUE"""),"Willowfield Harriers")</f>
        <v>Willowfield Harriers</v>
      </c>
      <c r="Y80" s="3">
        <f ca="1">IFERROR(__xludf.DUMMYFUNCTION("""COMPUTED_VALUE"""),0.0194212962962962)</f>
        <v>1.94212962962962E-2</v>
      </c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 t="str">
        <f ca="1">IFERROR(__xludf.DUMMYFUNCTION("""COMPUTED_VALUE""")," ")</f>
        <v xml:space="preserve"> </v>
      </c>
      <c r="BI80" s="1" t="str">
        <f ca="1">IFERROR(__xludf.DUMMYFUNCTION("""COMPUTED_VALUE""")," ")</f>
        <v xml:space="preserve"> </v>
      </c>
      <c r="BJ80" s="1" t="str">
        <f ca="1">IFERROR(__xludf.DUMMYFUNCTION("""COMPUTED_VALUE""")," ")</f>
        <v xml:space="preserve"> </v>
      </c>
    </row>
    <row r="81" spans="1:62" x14ac:dyDescent="0.25">
      <c r="A81" s="1">
        <f ca="1">IFERROR(__xludf.DUMMYFUNCTION("""COMPUTED_VALUE"""),79)</f>
        <v>79</v>
      </c>
      <c r="B81" s="1" t="str">
        <f ca="1">IFERROR(__xludf.DUMMYFUNCTION("""COMPUTED_VALUE"""),"Brian Todd")</f>
        <v>Brian Todd</v>
      </c>
      <c r="C81" s="1" t="str">
        <f ca="1">IFERROR(__xludf.DUMMYFUNCTION("""COMPUTED_VALUE"""),"M70")</f>
        <v>M70</v>
      </c>
      <c r="D81" s="1" t="str">
        <f ca="1">IFERROR(__xludf.DUMMYFUNCTION("""COMPUTED_VALUE"""),"Orangegrove AC")</f>
        <v>Orangegrove AC</v>
      </c>
      <c r="E81" s="3">
        <f ca="1">IFERROR(__xludf.DUMMYFUNCTION("""COMPUTED_VALUE"""),0.0163773148148148)</f>
        <v>1.6377314814814799E-2</v>
      </c>
      <c r="F81" s="1" t="str">
        <f ca="1">IFERROR(__xludf.DUMMYFUNCTION("""COMPUTED_VALUE""")," ")</f>
        <v xml:space="preserve"> </v>
      </c>
      <c r="G81" s="1" t="str">
        <f ca="1">IFERROR(__xludf.DUMMYFUNCTION("""COMPUTED_VALUE""")," ")</f>
        <v xml:space="preserve"> </v>
      </c>
      <c r="H81" s="1" t="str">
        <f ca="1">IFERROR(__xludf.DUMMYFUNCTION("""COMPUTED_VALUE""")," ")</f>
        <v xml:space="preserve"> </v>
      </c>
      <c r="I81" s="1" t="str">
        <f ca="1">IFERROR(__xludf.DUMMYFUNCTION("""COMPUTED_VALUE""")," ")</f>
        <v xml:space="preserve"> </v>
      </c>
      <c r="J81" s="1" t="str">
        <f ca="1">IFERROR(__xludf.DUMMYFUNCTION("""COMPUTED_VALUE""")," ")</f>
        <v xml:space="preserve"> </v>
      </c>
      <c r="K81" s="1">
        <f ca="1">IFERROR(__xludf.DUMMYFUNCTION("""COMPUTED_VALUE"""),79)</f>
        <v>79</v>
      </c>
      <c r="L81" s="1" t="str">
        <f ca="1">IFERROR(__xludf.DUMMYFUNCTION("""COMPUTED_VALUE"""),"Sarah O'Kane")</f>
        <v>Sarah O'Kane</v>
      </c>
      <c r="M81" s="1" t="str">
        <f ca="1">IFERROR(__xludf.DUMMYFUNCTION("""COMPUTED_VALUE"""),"FO")</f>
        <v>FO</v>
      </c>
      <c r="N81" s="1" t="str">
        <f ca="1">IFERROR(__xludf.DUMMYFUNCTION("""COMPUTED_VALUE"""),"Mallusk Harriers")</f>
        <v>Mallusk Harriers</v>
      </c>
      <c r="O81" s="3">
        <f ca="1">IFERROR(__xludf.DUMMYFUNCTION("""COMPUTED_VALUE"""),0.017199074074074)</f>
        <v>1.7199074074073999E-2</v>
      </c>
      <c r="P81" s="1" t="str">
        <f ca="1">IFERROR(__xludf.DUMMYFUNCTION("""COMPUTED_VALUE""")," ")</f>
        <v xml:space="preserve"> </v>
      </c>
      <c r="Q81" s="1" t="str">
        <f ca="1">IFERROR(__xludf.DUMMYFUNCTION("""COMPUTED_VALUE""")," ")</f>
        <v xml:space="preserve"> </v>
      </c>
      <c r="R81" s="1" t="str">
        <f ca="1">IFERROR(__xludf.DUMMYFUNCTION("""COMPUTED_VALUE""")," ")</f>
        <v xml:space="preserve"> </v>
      </c>
      <c r="S81" s="1" t="str">
        <f ca="1">IFERROR(__xludf.DUMMYFUNCTION("""COMPUTED_VALUE""")," ")</f>
        <v xml:space="preserve"> </v>
      </c>
      <c r="T81" s="1" t="str">
        <f ca="1">IFERROR(__xludf.DUMMYFUNCTION("""COMPUTED_VALUE""")," ")</f>
        <v xml:space="preserve"> </v>
      </c>
      <c r="U81" s="1">
        <f ca="1">IFERROR(__xludf.DUMMYFUNCTION("""COMPUTED_VALUE"""),79)</f>
        <v>79</v>
      </c>
      <c r="V81" s="1" t="str">
        <f ca="1">IFERROR(__xludf.DUMMYFUNCTION("""COMPUTED_VALUE"""),"Ciaran Sloan")</f>
        <v>Ciaran Sloan</v>
      </c>
      <c r="W81" s="1" t="str">
        <f ca="1">IFERROR(__xludf.DUMMYFUNCTION("""COMPUTED_VALUE"""),"M35")</f>
        <v>M35</v>
      </c>
      <c r="X81" s="1" t="str">
        <f ca="1">IFERROR(__xludf.DUMMYFUNCTION("""COMPUTED_VALUE"""),"North Belfast Harriers")</f>
        <v>North Belfast Harriers</v>
      </c>
      <c r="Y81" s="3">
        <f ca="1">IFERROR(__xludf.DUMMYFUNCTION("""COMPUTED_VALUE"""),0.0194675925925925)</f>
        <v>1.9467592592592502E-2</v>
      </c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 t="str">
        <f ca="1">IFERROR(__xludf.DUMMYFUNCTION("""COMPUTED_VALUE""")," ")</f>
        <v xml:space="preserve"> </v>
      </c>
      <c r="BI81" s="1" t="str">
        <f ca="1">IFERROR(__xludf.DUMMYFUNCTION("""COMPUTED_VALUE""")," ")</f>
        <v xml:space="preserve"> </v>
      </c>
      <c r="BJ81" s="1" t="str">
        <f ca="1">IFERROR(__xludf.DUMMYFUNCTION("""COMPUTED_VALUE""")," ")</f>
        <v xml:space="preserve"> </v>
      </c>
    </row>
    <row r="82" spans="1:62" x14ac:dyDescent="0.25">
      <c r="A82" s="1">
        <f ca="1">IFERROR(__xludf.DUMMYFUNCTION("""COMPUTED_VALUE"""),80)</f>
        <v>80</v>
      </c>
      <c r="B82" s="1" t="str">
        <f ca="1">IFERROR(__xludf.DUMMYFUNCTION("""COMPUTED_VALUE"""),"Wayne Giles")</f>
        <v>Wayne Giles</v>
      </c>
      <c r="C82" s="1" t="str">
        <f ca="1">IFERROR(__xludf.DUMMYFUNCTION("""COMPUTED_VALUE"""),"M60")</f>
        <v>M60</v>
      </c>
      <c r="D82" s="1" t="str">
        <f ca="1">IFERROR(__xludf.DUMMYFUNCTION("""COMPUTED_VALUE"""),"East Down AC")</f>
        <v>East Down AC</v>
      </c>
      <c r="E82" s="3">
        <f ca="1">IFERROR(__xludf.DUMMYFUNCTION("""COMPUTED_VALUE"""),0.0165046296296296)</f>
        <v>1.6504629629629598E-2</v>
      </c>
      <c r="F82" s="1" t="str">
        <f ca="1">IFERROR(__xludf.DUMMYFUNCTION("""COMPUTED_VALUE""")," ")</f>
        <v xml:space="preserve"> </v>
      </c>
      <c r="G82" s="1" t="str">
        <f ca="1">IFERROR(__xludf.DUMMYFUNCTION("""COMPUTED_VALUE""")," ")</f>
        <v xml:space="preserve"> </v>
      </c>
      <c r="H82" s="1" t="str">
        <f ca="1">IFERROR(__xludf.DUMMYFUNCTION("""COMPUTED_VALUE""")," ")</f>
        <v xml:space="preserve"> </v>
      </c>
      <c r="I82" s="1" t="str">
        <f ca="1">IFERROR(__xludf.DUMMYFUNCTION("""COMPUTED_VALUE""")," ")</f>
        <v xml:space="preserve"> </v>
      </c>
      <c r="J82" s="1" t="str">
        <f ca="1">IFERROR(__xludf.DUMMYFUNCTION("""COMPUTED_VALUE""")," ")</f>
        <v xml:space="preserve"> </v>
      </c>
      <c r="K82" s="1">
        <f ca="1">IFERROR(__xludf.DUMMYFUNCTION("""COMPUTED_VALUE"""),80)</f>
        <v>80</v>
      </c>
      <c r="L82" s="1" t="str">
        <f ca="1">IFERROR(__xludf.DUMMYFUNCTION("""COMPUTED_VALUE"""),"Ciara Hardy")</f>
        <v>Ciara Hardy</v>
      </c>
      <c r="M82" s="1" t="str">
        <f ca="1">IFERROR(__xludf.DUMMYFUNCTION("""COMPUTED_VALUE"""),"F35")</f>
        <v>F35</v>
      </c>
      <c r="N82" s="1" t="str">
        <f ca="1">IFERROR(__xludf.DUMMYFUNCTION("""COMPUTED_VALUE"""),"Murlough AC")</f>
        <v>Murlough AC</v>
      </c>
      <c r="O82" s="3">
        <f ca="1">IFERROR(__xludf.DUMMYFUNCTION("""COMPUTED_VALUE"""),0.0172800925925925)</f>
        <v>1.72800925925925E-2</v>
      </c>
      <c r="P82" s="1" t="str">
        <f ca="1">IFERROR(__xludf.DUMMYFUNCTION("""COMPUTED_VALUE""")," ")</f>
        <v xml:space="preserve"> </v>
      </c>
      <c r="Q82" s="1" t="str">
        <f ca="1">IFERROR(__xludf.DUMMYFUNCTION("""COMPUTED_VALUE""")," ")</f>
        <v xml:space="preserve"> </v>
      </c>
      <c r="R82" s="1" t="str">
        <f ca="1">IFERROR(__xludf.DUMMYFUNCTION("""COMPUTED_VALUE""")," ")</f>
        <v xml:space="preserve"> </v>
      </c>
      <c r="S82" s="1" t="str">
        <f ca="1">IFERROR(__xludf.DUMMYFUNCTION("""COMPUTED_VALUE""")," ")</f>
        <v xml:space="preserve"> </v>
      </c>
      <c r="T82" s="1" t="str">
        <f ca="1">IFERROR(__xludf.DUMMYFUNCTION("""COMPUTED_VALUE""")," ")</f>
        <v xml:space="preserve"> </v>
      </c>
      <c r="U82" s="1">
        <f ca="1">IFERROR(__xludf.DUMMYFUNCTION("""COMPUTED_VALUE"""),80)</f>
        <v>80</v>
      </c>
      <c r="V82" s="1" t="str">
        <f ca="1">IFERROR(__xludf.DUMMYFUNCTION("""COMPUTED_VALUE"""),"Graeme McGowan")</f>
        <v>Graeme McGowan</v>
      </c>
      <c r="W82" s="1" t="str">
        <f ca="1">IFERROR(__xludf.DUMMYFUNCTION("""COMPUTED_VALUE"""),"M35")</f>
        <v>M35</v>
      </c>
      <c r="X82" s="1" t="str">
        <f ca="1">IFERROR(__xludf.DUMMYFUNCTION("""COMPUTED_VALUE"""),"Scrabo Striders")</f>
        <v>Scrabo Striders</v>
      </c>
      <c r="Y82" s="3">
        <f ca="1">IFERROR(__xludf.DUMMYFUNCTION("""COMPUTED_VALUE"""),0.0195138888888888)</f>
        <v>1.9513888888888799E-2</v>
      </c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 t="str">
        <f ca="1">IFERROR(__xludf.DUMMYFUNCTION("""COMPUTED_VALUE""")," ")</f>
        <v xml:space="preserve"> </v>
      </c>
      <c r="BI82" s="1" t="str">
        <f ca="1">IFERROR(__xludf.DUMMYFUNCTION("""COMPUTED_VALUE""")," ")</f>
        <v xml:space="preserve"> </v>
      </c>
      <c r="BJ82" s="1" t="str">
        <f ca="1">IFERROR(__xludf.DUMMYFUNCTION("""COMPUTED_VALUE""")," ")</f>
        <v xml:space="preserve"> </v>
      </c>
    </row>
    <row r="83" spans="1:62" x14ac:dyDescent="0.25">
      <c r="A83" s="1">
        <f ca="1">IFERROR(__xludf.DUMMYFUNCTION("""COMPUTED_VALUE"""),81)</f>
        <v>81</v>
      </c>
      <c r="B83" s="1" t="str">
        <f ca="1">IFERROR(__xludf.DUMMYFUNCTION("""COMPUTED_VALUE"""),"Robert Davidson")</f>
        <v>Robert Davidson</v>
      </c>
      <c r="C83" s="1" t="str">
        <f ca="1">IFERROR(__xludf.DUMMYFUNCTION("""COMPUTED_VALUE"""),"M55")</f>
        <v>M55</v>
      </c>
      <c r="D83" s="1" t="str">
        <f ca="1">IFERROR(__xludf.DUMMYFUNCTION("""COMPUTED_VALUE"""),"Saintfield Striders")</f>
        <v>Saintfield Striders</v>
      </c>
      <c r="E83" s="3">
        <f ca="1">IFERROR(__xludf.DUMMYFUNCTION("""COMPUTED_VALUE"""),0.0168171296296296)</f>
        <v>1.6817129629629599E-2</v>
      </c>
      <c r="F83" s="1" t="str">
        <f ca="1">IFERROR(__xludf.DUMMYFUNCTION("""COMPUTED_VALUE""")," ")</f>
        <v xml:space="preserve"> </v>
      </c>
      <c r="G83" s="1" t="str">
        <f ca="1">IFERROR(__xludf.DUMMYFUNCTION("""COMPUTED_VALUE""")," ")</f>
        <v xml:space="preserve"> </v>
      </c>
      <c r="H83" s="1" t="str">
        <f ca="1">IFERROR(__xludf.DUMMYFUNCTION("""COMPUTED_VALUE""")," ")</f>
        <v xml:space="preserve"> </v>
      </c>
      <c r="I83" s="1" t="str">
        <f ca="1">IFERROR(__xludf.DUMMYFUNCTION("""COMPUTED_VALUE""")," ")</f>
        <v xml:space="preserve"> </v>
      </c>
      <c r="J83" s="1" t="str">
        <f ca="1">IFERROR(__xludf.DUMMYFUNCTION("""COMPUTED_VALUE""")," ")</f>
        <v xml:space="preserve"> </v>
      </c>
      <c r="K83" s="1">
        <f ca="1">IFERROR(__xludf.DUMMYFUNCTION("""COMPUTED_VALUE"""),81)</f>
        <v>81</v>
      </c>
      <c r="L83" s="1" t="str">
        <f ca="1">IFERROR(__xludf.DUMMYFUNCTION("""COMPUTED_VALUE"""),"Kim McDonald")</f>
        <v>Kim McDonald</v>
      </c>
      <c r="M83" s="1" t="str">
        <f ca="1">IFERROR(__xludf.DUMMYFUNCTION("""COMPUTED_VALUE"""),"F55")</f>
        <v>F55</v>
      </c>
      <c r="N83" s="1" t="str">
        <f ca="1">IFERROR(__xludf.DUMMYFUNCTION("""COMPUTED_VALUE"""),"Dromore AC")</f>
        <v>Dromore AC</v>
      </c>
      <c r="O83" s="3">
        <f ca="1">IFERROR(__xludf.DUMMYFUNCTION("""COMPUTED_VALUE"""),0.0173032407407407)</f>
        <v>1.7303240740740699E-2</v>
      </c>
      <c r="P83" s="1" t="str">
        <f ca="1">IFERROR(__xludf.DUMMYFUNCTION("""COMPUTED_VALUE""")," ")</f>
        <v xml:space="preserve"> </v>
      </c>
      <c r="Q83" s="1" t="str">
        <f ca="1">IFERROR(__xludf.DUMMYFUNCTION("""COMPUTED_VALUE""")," ")</f>
        <v xml:space="preserve"> </v>
      </c>
      <c r="R83" s="1" t="str">
        <f ca="1">IFERROR(__xludf.DUMMYFUNCTION("""COMPUTED_VALUE""")," ")</f>
        <v xml:space="preserve"> </v>
      </c>
      <c r="S83" s="1" t="str">
        <f ca="1">IFERROR(__xludf.DUMMYFUNCTION("""COMPUTED_VALUE""")," ")</f>
        <v xml:space="preserve"> </v>
      </c>
      <c r="T83" s="1" t="str">
        <f ca="1">IFERROR(__xludf.DUMMYFUNCTION("""COMPUTED_VALUE""")," ")</f>
        <v xml:space="preserve"> </v>
      </c>
      <c r="U83" s="1">
        <f ca="1">IFERROR(__xludf.DUMMYFUNCTION("""COMPUTED_VALUE"""),81)</f>
        <v>81</v>
      </c>
      <c r="V83" s="1" t="str">
        <f ca="1">IFERROR(__xludf.DUMMYFUNCTION("""COMPUTED_VALUE"""),"Simon Reeve")</f>
        <v>Simon Reeve</v>
      </c>
      <c r="W83" s="1" t="str">
        <f ca="1">IFERROR(__xludf.DUMMYFUNCTION("""COMPUTED_VALUE"""),"MO")</f>
        <v>MO</v>
      </c>
      <c r="X83" s="1" t="str">
        <f ca="1">IFERROR(__xludf.DUMMYFUNCTION("""COMPUTED_VALUE"""),"Willowfield Harriers")</f>
        <v>Willowfield Harriers</v>
      </c>
      <c r="Y83" s="3">
        <f ca="1">IFERROR(__xludf.DUMMYFUNCTION("""COMPUTED_VALUE"""),0.0195254629629629)</f>
        <v>1.9525462962962901E-2</v>
      </c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 t="str">
        <f ca="1">IFERROR(__xludf.DUMMYFUNCTION("""COMPUTED_VALUE""")," ")</f>
        <v xml:space="preserve"> </v>
      </c>
      <c r="BI83" s="1" t="str">
        <f ca="1">IFERROR(__xludf.DUMMYFUNCTION("""COMPUTED_VALUE""")," ")</f>
        <v xml:space="preserve"> </v>
      </c>
      <c r="BJ83" s="1" t="str">
        <f ca="1">IFERROR(__xludf.DUMMYFUNCTION("""COMPUTED_VALUE""")," ")</f>
        <v xml:space="preserve"> </v>
      </c>
    </row>
    <row r="84" spans="1:62" x14ac:dyDescent="0.25">
      <c r="A84" s="1">
        <f ca="1">IFERROR(__xludf.DUMMYFUNCTION("""COMPUTED_VALUE"""),82)</f>
        <v>82</v>
      </c>
      <c r="B84" s="1" t="str">
        <f ca="1">IFERROR(__xludf.DUMMYFUNCTION("""COMPUTED_VALUE"""),"Alan Kerr")</f>
        <v>Alan Kerr</v>
      </c>
      <c r="C84" s="1" t="str">
        <f ca="1">IFERROR(__xludf.DUMMYFUNCTION("""COMPUTED_VALUE"""),"M50")</f>
        <v>M50</v>
      </c>
      <c r="D84" s="1" t="str">
        <f ca="1">IFERROR(__xludf.DUMMYFUNCTION("""COMPUTED_VALUE"""),"Mallusk Harriers")</f>
        <v>Mallusk Harriers</v>
      </c>
      <c r="E84" s="3">
        <f ca="1">IFERROR(__xludf.DUMMYFUNCTION("""COMPUTED_VALUE"""),0.0170949074074074)</f>
        <v>1.7094907407407399E-2</v>
      </c>
      <c r="F84" s="1" t="str">
        <f ca="1">IFERROR(__xludf.DUMMYFUNCTION("""COMPUTED_VALUE""")," ")</f>
        <v xml:space="preserve"> </v>
      </c>
      <c r="G84" s="1" t="str">
        <f ca="1">IFERROR(__xludf.DUMMYFUNCTION("""COMPUTED_VALUE""")," ")</f>
        <v xml:space="preserve"> </v>
      </c>
      <c r="H84" s="1" t="str">
        <f ca="1">IFERROR(__xludf.DUMMYFUNCTION("""COMPUTED_VALUE""")," ")</f>
        <v xml:space="preserve"> </v>
      </c>
      <c r="I84" s="1" t="str">
        <f ca="1">IFERROR(__xludf.DUMMYFUNCTION("""COMPUTED_VALUE""")," ")</f>
        <v xml:space="preserve"> </v>
      </c>
      <c r="J84" s="1" t="str">
        <f ca="1">IFERROR(__xludf.DUMMYFUNCTION("""COMPUTED_VALUE""")," ")</f>
        <v xml:space="preserve"> </v>
      </c>
      <c r="K84" s="1">
        <f ca="1">IFERROR(__xludf.DUMMYFUNCTION("""COMPUTED_VALUE"""),82)</f>
        <v>82</v>
      </c>
      <c r="L84" s="1" t="str">
        <f ca="1">IFERROR(__xludf.DUMMYFUNCTION("""COMPUTED_VALUE"""),"Roisin Blue")</f>
        <v>Roisin Blue</v>
      </c>
      <c r="M84" s="1" t="str">
        <f ca="1">IFERROR(__xludf.DUMMYFUNCTION("""COMPUTED_VALUE"""),"F40")</f>
        <v>F40</v>
      </c>
      <c r="N84" s="1" t="str">
        <f ca="1">IFERROR(__xludf.DUMMYFUNCTION("""COMPUTED_VALUE"""),"Beechmount Harriers")</f>
        <v>Beechmount Harriers</v>
      </c>
      <c r="O84" s="3">
        <f ca="1">IFERROR(__xludf.DUMMYFUNCTION("""COMPUTED_VALUE"""),0.0173611111111111)</f>
        <v>1.7361111111111101E-2</v>
      </c>
      <c r="P84" s="1" t="str">
        <f ca="1">IFERROR(__xludf.DUMMYFUNCTION("""COMPUTED_VALUE""")," ")</f>
        <v xml:space="preserve"> </v>
      </c>
      <c r="Q84" s="1" t="str">
        <f ca="1">IFERROR(__xludf.DUMMYFUNCTION("""COMPUTED_VALUE""")," ")</f>
        <v xml:space="preserve"> </v>
      </c>
      <c r="R84" s="1" t="str">
        <f ca="1">IFERROR(__xludf.DUMMYFUNCTION("""COMPUTED_VALUE""")," ")</f>
        <v xml:space="preserve"> </v>
      </c>
      <c r="S84" s="1" t="str">
        <f ca="1">IFERROR(__xludf.DUMMYFUNCTION("""COMPUTED_VALUE""")," ")</f>
        <v xml:space="preserve"> </v>
      </c>
      <c r="T84" s="1" t="str">
        <f ca="1">IFERROR(__xludf.DUMMYFUNCTION("""COMPUTED_VALUE""")," ")</f>
        <v xml:space="preserve"> </v>
      </c>
      <c r="U84" s="1">
        <f ca="1">IFERROR(__xludf.DUMMYFUNCTION("""COMPUTED_VALUE"""),82)</f>
        <v>82</v>
      </c>
      <c r="V84" s="1" t="str">
        <f ca="1">IFERROR(__xludf.DUMMYFUNCTION("""COMPUTED_VALUE"""),"Nathan Lilly")</f>
        <v>Nathan Lilly</v>
      </c>
      <c r="W84" s="1" t="str">
        <f ca="1">IFERROR(__xludf.DUMMYFUNCTION("""COMPUTED_VALUE"""),"MJ")</f>
        <v>MJ</v>
      </c>
      <c r="X84" s="1" t="str">
        <f ca="1">IFERROR(__xludf.DUMMYFUNCTION("""COMPUTED_VALUE"""),"Ballydrain Harriers")</f>
        <v>Ballydrain Harriers</v>
      </c>
      <c r="Y84" s="3">
        <f ca="1">IFERROR(__xludf.DUMMYFUNCTION("""COMPUTED_VALUE"""),0.0195254629629629)</f>
        <v>1.9525462962962901E-2</v>
      </c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 t="str">
        <f ca="1">IFERROR(__xludf.DUMMYFUNCTION("""COMPUTED_VALUE""")," ")</f>
        <v xml:space="preserve"> </v>
      </c>
      <c r="BI84" s="1" t="str">
        <f ca="1">IFERROR(__xludf.DUMMYFUNCTION("""COMPUTED_VALUE""")," ")</f>
        <v xml:space="preserve"> </v>
      </c>
      <c r="BJ84" s="1" t="str">
        <f ca="1">IFERROR(__xludf.DUMMYFUNCTION("""COMPUTED_VALUE""")," ")</f>
        <v xml:space="preserve"> </v>
      </c>
    </row>
    <row r="85" spans="1:62" x14ac:dyDescent="0.25">
      <c r="A85" s="1">
        <f ca="1">IFERROR(__xludf.DUMMYFUNCTION("""COMPUTED_VALUE"""),83)</f>
        <v>83</v>
      </c>
      <c r="B85" s="1" t="str">
        <f ca="1">IFERROR(__xludf.DUMMYFUNCTION("""COMPUTED_VALUE"""),"Steven Pearson")</f>
        <v>Steven Pearson</v>
      </c>
      <c r="C85" s="1" t="str">
        <f ca="1">IFERROR(__xludf.DUMMYFUNCTION("""COMPUTED_VALUE"""),"M45")</f>
        <v>M45</v>
      </c>
      <c r="D85" s="1" t="str">
        <f ca="1">IFERROR(__xludf.DUMMYFUNCTION("""COMPUTED_VALUE"""),"Scrabo Striders")</f>
        <v>Scrabo Striders</v>
      </c>
      <c r="E85" s="3">
        <f ca="1">IFERROR(__xludf.DUMMYFUNCTION("""COMPUTED_VALUE"""),0.0188425925925925)</f>
        <v>1.8842592592592501E-2</v>
      </c>
      <c r="F85" s="1" t="str">
        <f ca="1">IFERROR(__xludf.DUMMYFUNCTION("""COMPUTED_VALUE""")," ")</f>
        <v xml:space="preserve"> </v>
      </c>
      <c r="G85" s="1" t="str">
        <f ca="1">IFERROR(__xludf.DUMMYFUNCTION("""COMPUTED_VALUE""")," ")</f>
        <v xml:space="preserve"> </v>
      </c>
      <c r="H85" s="1" t="str">
        <f ca="1">IFERROR(__xludf.DUMMYFUNCTION("""COMPUTED_VALUE""")," ")</f>
        <v xml:space="preserve"> </v>
      </c>
      <c r="I85" s="1" t="str">
        <f ca="1">IFERROR(__xludf.DUMMYFUNCTION("""COMPUTED_VALUE""")," ")</f>
        <v xml:space="preserve"> </v>
      </c>
      <c r="J85" s="1" t="str">
        <f ca="1">IFERROR(__xludf.DUMMYFUNCTION("""COMPUTED_VALUE""")," ")</f>
        <v xml:space="preserve"> </v>
      </c>
      <c r="K85" s="1">
        <f ca="1">IFERROR(__xludf.DUMMYFUNCTION("""COMPUTED_VALUE"""),83)</f>
        <v>83</v>
      </c>
      <c r="L85" s="1" t="str">
        <f ca="1">IFERROR(__xludf.DUMMYFUNCTION("""COMPUTED_VALUE"""),"Karen Gibson")</f>
        <v>Karen Gibson</v>
      </c>
      <c r="M85" s="1" t="str">
        <f ca="1">IFERROR(__xludf.DUMMYFUNCTION("""COMPUTED_VALUE"""),"F40")</f>
        <v>F40</v>
      </c>
      <c r="N85" s="1" t="str">
        <f ca="1">IFERROR(__xludf.DUMMYFUNCTION("""COMPUTED_VALUE"""),"Ballydrain Harriers")</f>
        <v>Ballydrain Harriers</v>
      </c>
      <c r="O85" s="3">
        <f ca="1">IFERROR(__xludf.DUMMYFUNCTION("""COMPUTED_VALUE"""),0.0173958333333333)</f>
        <v>1.7395833333333301E-2</v>
      </c>
      <c r="P85" s="1" t="str">
        <f ca="1">IFERROR(__xludf.DUMMYFUNCTION("""COMPUTED_VALUE""")," ")</f>
        <v xml:space="preserve"> </v>
      </c>
      <c r="Q85" s="1" t="str">
        <f ca="1">IFERROR(__xludf.DUMMYFUNCTION("""COMPUTED_VALUE""")," ")</f>
        <v xml:space="preserve"> </v>
      </c>
      <c r="R85" s="1" t="str">
        <f ca="1">IFERROR(__xludf.DUMMYFUNCTION("""COMPUTED_VALUE""")," ")</f>
        <v xml:space="preserve"> </v>
      </c>
      <c r="S85" s="1" t="str">
        <f ca="1">IFERROR(__xludf.DUMMYFUNCTION("""COMPUTED_VALUE""")," ")</f>
        <v xml:space="preserve"> </v>
      </c>
      <c r="T85" s="1" t="str">
        <f ca="1">IFERROR(__xludf.DUMMYFUNCTION("""COMPUTED_VALUE""")," ")</f>
        <v xml:space="preserve"> </v>
      </c>
      <c r="U85" s="1">
        <f ca="1">IFERROR(__xludf.DUMMYFUNCTION("""COMPUTED_VALUE"""),83)</f>
        <v>83</v>
      </c>
      <c r="V85" s="1" t="str">
        <f ca="1">IFERROR(__xludf.DUMMYFUNCTION("""COMPUTED_VALUE"""),"Graham Hill")</f>
        <v>Graham Hill</v>
      </c>
      <c r="W85" s="1" t="str">
        <f ca="1">IFERROR(__xludf.DUMMYFUNCTION("""COMPUTED_VALUE"""),"M50")</f>
        <v>M50</v>
      </c>
      <c r="X85" s="1" t="str">
        <f ca="1">IFERROR(__xludf.DUMMYFUNCTION("""COMPUTED_VALUE"""),"Ballydrain Harriers")</f>
        <v>Ballydrain Harriers</v>
      </c>
      <c r="Y85" s="3">
        <f ca="1">IFERROR(__xludf.DUMMYFUNCTION("""COMPUTED_VALUE"""),0.0195833333333333)</f>
        <v>1.95833333333333E-2</v>
      </c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 t="str">
        <f ca="1">IFERROR(__xludf.DUMMYFUNCTION("""COMPUTED_VALUE""")," ")</f>
        <v xml:space="preserve"> </v>
      </c>
      <c r="BI85" s="1" t="str">
        <f ca="1">IFERROR(__xludf.DUMMYFUNCTION("""COMPUTED_VALUE""")," ")</f>
        <v xml:space="preserve"> </v>
      </c>
      <c r="BJ85" s="1" t="str">
        <f ca="1">IFERROR(__xludf.DUMMYFUNCTION("""COMPUTED_VALUE""")," ")</f>
        <v xml:space="preserve"> </v>
      </c>
    </row>
    <row r="86" spans="1:62" x14ac:dyDescent="0.25">
      <c r="A86" s="1" t="str">
        <f ca="1">IFERROR(__xludf.DUMMYFUNCTION("""COMPUTED_VALUE""")," ")</f>
        <v xml:space="preserve"> </v>
      </c>
      <c r="B86" s="1" t="str">
        <f ca="1">IFERROR(__xludf.DUMMYFUNCTION("""COMPUTED_VALUE""")," ")</f>
        <v xml:space="preserve"> </v>
      </c>
      <c r="C86" s="1" t="str">
        <f ca="1">IFERROR(__xludf.DUMMYFUNCTION("""COMPUTED_VALUE""")," ")</f>
        <v xml:space="preserve"> </v>
      </c>
      <c r="D86" s="1" t="str">
        <f ca="1">IFERROR(__xludf.DUMMYFUNCTION("""COMPUTED_VALUE""")," ")</f>
        <v xml:space="preserve"> </v>
      </c>
      <c r="E86" s="1" t="str">
        <f ca="1">IFERROR(__xludf.DUMMYFUNCTION("""COMPUTED_VALUE""")," ")</f>
        <v xml:space="preserve"> </v>
      </c>
      <c r="F86" s="1" t="str">
        <f ca="1">IFERROR(__xludf.DUMMYFUNCTION("""COMPUTED_VALUE""")," ")</f>
        <v xml:space="preserve"> </v>
      </c>
      <c r="G86" s="1" t="str">
        <f ca="1">IFERROR(__xludf.DUMMYFUNCTION("""COMPUTED_VALUE""")," ")</f>
        <v xml:space="preserve"> </v>
      </c>
      <c r="H86" s="1" t="str">
        <f ca="1">IFERROR(__xludf.DUMMYFUNCTION("""COMPUTED_VALUE""")," ")</f>
        <v xml:space="preserve"> </v>
      </c>
      <c r="I86" s="1" t="str">
        <f ca="1">IFERROR(__xludf.DUMMYFUNCTION("""COMPUTED_VALUE""")," ")</f>
        <v xml:space="preserve"> </v>
      </c>
      <c r="J86" s="1" t="str">
        <f ca="1">IFERROR(__xludf.DUMMYFUNCTION("""COMPUTED_VALUE""")," ")</f>
        <v xml:space="preserve"> </v>
      </c>
      <c r="K86" s="1">
        <f ca="1">IFERROR(__xludf.DUMMYFUNCTION("""COMPUTED_VALUE"""),84)</f>
        <v>84</v>
      </c>
      <c r="L86" s="1" t="str">
        <f ca="1">IFERROR(__xludf.DUMMYFUNCTION("""COMPUTED_VALUE"""),"Pamela McCafferty")</f>
        <v>Pamela McCafferty</v>
      </c>
      <c r="M86" s="1" t="str">
        <f ca="1">IFERROR(__xludf.DUMMYFUNCTION("""COMPUTED_VALUE"""),"F55")</f>
        <v>F55</v>
      </c>
      <c r="N86" s="1" t="str">
        <f ca="1">IFERROR(__xludf.DUMMYFUNCTION("""COMPUTED_VALUE"""),"Mallusk Harriers")</f>
        <v>Mallusk Harriers</v>
      </c>
      <c r="O86" s="3">
        <f ca="1">IFERROR(__xludf.DUMMYFUNCTION("""COMPUTED_VALUE"""),0.0174537037037037)</f>
        <v>1.74537037037037E-2</v>
      </c>
      <c r="P86" s="1" t="str">
        <f ca="1">IFERROR(__xludf.DUMMYFUNCTION("""COMPUTED_VALUE""")," ")</f>
        <v xml:space="preserve"> </v>
      </c>
      <c r="Q86" s="1" t="str">
        <f ca="1">IFERROR(__xludf.DUMMYFUNCTION("""COMPUTED_VALUE""")," ")</f>
        <v xml:space="preserve"> </v>
      </c>
      <c r="R86" s="1" t="str">
        <f ca="1">IFERROR(__xludf.DUMMYFUNCTION("""COMPUTED_VALUE""")," ")</f>
        <v xml:space="preserve"> </v>
      </c>
      <c r="S86" s="1" t="str">
        <f ca="1">IFERROR(__xludf.DUMMYFUNCTION("""COMPUTED_VALUE""")," ")</f>
        <v xml:space="preserve"> </v>
      </c>
      <c r="T86" s="1" t="str">
        <f ca="1">IFERROR(__xludf.DUMMYFUNCTION("""COMPUTED_VALUE""")," ")</f>
        <v xml:space="preserve"> </v>
      </c>
      <c r="U86" s="1">
        <f ca="1">IFERROR(__xludf.DUMMYFUNCTION("""COMPUTED_VALUE"""),84)</f>
        <v>84</v>
      </c>
      <c r="V86" s="1" t="str">
        <f ca="1">IFERROR(__xludf.DUMMYFUNCTION("""COMPUTED_VALUE"""),"Gary Long")</f>
        <v>Gary Long</v>
      </c>
      <c r="W86" s="1" t="str">
        <f ca="1">IFERROR(__xludf.DUMMYFUNCTION("""COMPUTED_VALUE"""),"M55")</f>
        <v>M55</v>
      </c>
      <c r="X86" s="1" t="str">
        <f ca="1">IFERROR(__xludf.DUMMYFUNCTION("""COMPUTED_VALUE"""),"Ballydrain Harriers")</f>
        <v>Ballydrain Harriers</v>
      </c>
      <c r="Y86" s="3">
        <f ca="1">IFERROR(__xludf.DUMMYFUNCTION("""COMPUTED_VALUE"""),0.0196759259259259)</f>
        <v>1.9675925925925899E-2</v>
      </c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 t="str">
        <f ca="1">IFERROR(__xludf.DUMMYFUNCTION("""COMPUTED_VALUE""")," ")</f>
        <v xml:space="preserve"> </v>
      </c>
      <c r="BI86" s="1" t="str">
        <f ca="1">IFERROR(__xludf.DUMMYFUNCTION("""COMPUTED_VALUE""")," ")</f>
        <v xml:space="preserve"> </v>
      </c>
      <c r="BJ86" s="1" t="str">
        <f ca="1">IFERROR(__xludf.DUMMYFUNCTION("""COMPUTED_VALUE""")," ")</f>
        <v xml:space="preserve"> </v>
      </c>
    </row>
    <row r="87" spans="1:62" x14ac:dyDescent="0.25">
      <c r="A87" s="1" t="str">
        <f ca="1">IFERROR(__xludf.DUMMYFUNCTION("""COMPUTED_VALUE""")," ")</f>
        <v xml:space="preserve"> </v>
      </c>
      <c r="B87" s="1" t="str">
        <f ca="1">IFERROR(__xludf.DUMMYFUNCTION("""COMPUTED_VALUE""")," ")</f>
        <v xml:space="preserve"> </v>
      </c>
      <c r="C87" s="1" t="str">
        <f ca="1">IFERROR(__xludf.DUMMYFUNCTION("""COMPUTED_VALUE""")," ")</f>
        <v xml:space="preserve"> </v>
      </c>
      <c r="D87" s="1" t="str">
        <f ca="1">IFERROR(__xludf.DUMMYFUNCTION("""COMPUTED_VALUE""")," ")</f>
        <v xml:space="preserve"> </v>
      </c>
      <c r="E87" s="1" t="str">
        <f ca="1">IFERROR(__xludf.DUMMYFUNCTION("""COMPUTED_VALUE""")," ")</f>
        <v xml:space="preserve"> </v>
      </c>
      <c r="F87" s="1" t="str">
        <f ca="1">IFERROR(__xludf.DUMMYFUNCTION("""COMPUTED_VALUE""")," ")</f>
        <v xml:space="preserve"> </v>
      </c>
      <c r="G87" s="1" t="str">
        <f ca="1">IFERROR(__xludf.DUMMYFUNCTION("""COMPUTED_VALUE""")," ")</f>
        <v xml:space="preserve"> </v>
      </c>
      <c r="H87" s="1" t="str">
        <f ca="1">IFERROR(__xludf.DUMMYFUNCTION("""COMPUTED_VALUE""")," ")</f>
        <v xml:space="preserve"> </v>
      </c>
      <c r="I87" s="1" t="str">
        <f ca="1">IFERROR(__xludf.DUMMYFUNCTION("""COMPUTED_VALUE""")," ")</f>
        <v xml:space="preserve"> </v>
      </c>
      <c r="J87" s="1" t="str">
        <f ca="1">IFERROR(__xludf.DUMMYFUNCTION("""COMPUTED_VALUE""")," ")</f>
        <v xml:space="preserve"> </v>
      </c>
      <c r="K87" s="1">
        <f ca="1">IFERROR(__xludf.DUMMYFUNCTION("""COMPUTED_VALUE"""),85)</f>
        <v>85</v>
      </c>
      <c r="L87" s="1" t="str">
        <f ca="1">IFERROR(__xludf.DUMMYFUNCTION("""COMPUTED_VALUE"""),"Amanda Martin")</f>
        <v>Amanda Martin</v>
      </c>
      <c r="M87" s="1" t="str">
        <f ca="1">IFERROR(__xludf.DUMMYFUNCTION("""COMPUTED_VALUE"""),"F55")</f>
        <v>F55</v>
      </c>
      <c r="N87" s="1" t="str">
        <f ca="1">IFERROR(__xludf.DUMMYFUNCTION("""COMPUTED_VALUE"""),"Scrabo Striders")</f>
        <v>Scrabo Striders</v>
      </c>
      <c r="O87" s="3">
        <f ca="1">IFERROR(__xludf.DUMMYFUNCTION("""COMPUTED_VALUE"""),0.0174652777777777)</f>
        <v>1.7465277777777701E-2</v>
      </c>
      <c r="P87" s="1" t="str">
        <f ca="1">IFERROR(__xludf.DUMMYFUNCTION("""COMPUTED_VALUE""")," ")</f>
        <v xml:space="preserve"> </v>
      </c>
      <c r="Q87" s="1" t="str">
        <f ca="1">IFERROR(__xludf.DUMMYFUNCTION("""COMPUTED_VALUE""")," ")</f>
        <v xml:space="preserve"> </v>
      </c>
      <c r="R87" s="1" t="str">
        <f ca="1">IFERROR(__xludf.DUMMYFUNCTION("""COMPUTED_VALUE""")," ")</f>
        <v xml:space="preserve"> </v>
      </c>
      <c r="S87" s="1" t="str">
        <f ca="1">IFERROR(__xludf.DUMMYFUNCTION("""COMPUTED_VALUE""")," ")</f>
        <v xml:space="preserve"> </v>
      </c>
      <c r="T87" s="1" t="str">
        <f ca="1">IFERROR(__xludf.DUMMYFUNCTION("""COMPUTED_VALUE""")," ")</f>
        <v xml:space="preserve"> </v>
      </c>
      <c r="U87" s="1">
        <f ca="1">IFERROR(__xludf.DUMMYFUNCTION("""COMPUTED_VALUE"""),85)</f>
        <v>85</v>
      </c>
      <c r="V87" s="1" t="str">
        <f ca="1">IFERROR(__xludf.DUMMYFUNCTION("""COMPUTED_VALUE"""),"Rory Morrow")</f>
        <v>Rory Morrow</v>
      </c>
      <c r="W87" s="1" t="str">
        <f ca="1">IFERROR(__xludf.DUMMYFUNCTION("""COMPUTED_VALUE"""),"MO")</f>
        <v>MO</v>
      </c>
      <c r="X87" s="1" t="str">
        <f ca="1">IFERROR(__xludf.DUMMYFUNCTION("""COMPUTED_VALUE"""),"Queen's University")</f>
        <v>Queen's University</v>
      </c>
      <c r="Y87" s="3">
        <f ca="1">IFERROR(__xludf.DUMMYFUNCTION("""COMPUTED_VALUE"""),0.0197337962962962)</f>
        <v>1.9733796296296201E-2</v>
      </c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 t="str">
        <f ca="1">IFERROR(__xludf.DUMMYFUNCTION("""COMPUTED_VALUE""")," ")</f>
        <v xml:space="preserve"> </v>
      </c>
      <c r="BI87" s="1" t="str">
        <f ca="1">IFERROR(__xludf.DUMMYFUNCTION("""COMPUTED_VALUE""")," ")</f>
        <v xml:space="preserve"> </v>
      </c>
      <c r="BJ87" s="1" t="str">
        <f ca="1">IFERROR(__xludf.DUMMYFUNCTION("""COMPUTED_VALUE""")," ")</f>
        <v xml:space="preserve"> </v>
      </c>
    </row>
    <row r="88" spans="1:62" x14ac:dyDescent="0.25">
      <c r="A88" s="1" t="str">
        <f ca="1">IFERROR(__xludf.DUMMYFUNCTION("""COMPUTED_VALUE""")," ")</f>
        <v xml:space="preserve"> </v>
      </c>
      <c r="B88" s="1" t="str">
        <f ca="1">IFERROR(__xludf.DUMMYFUNCTION("""COMPUTED_VALUE""")," ")</f>
        <v xml:space="preserve"> </v>
      </c>
      <c r="C88" s="1" t="str">
        <f ca="1">IFERROR(__xludf.DUMMYFUNCTION("""COMPUTED_VALUE""")," ")</f>
        <v xml:space="preserve"> </v>
      </c>
      <c r="D88" s="1" t="str">
        <f ca="1">IFERROR(__xludf.DUMMYFUNCTION("""COMPUTED_VALUE""")," ")</f>
        <v xml:space="preserve"> </v>
      </c>
      <c r="E88" s="1" t="str">
        <f ca="1">IFERROR(__xludf.DUMMYFUNCTION("""COMPUTED_VALUE""")," ")</f>
        <v xml:space="preserve"> </v>
      </c>
      <c r="F88" s="1" t="str">
        <f ca="1">IFERROR(__xludf.DUMMYFUNCTION("""COMPUTED_VALUE""")," ")</f>
        <v xml:space="preserve"> </v>
      </c>
      <c r="G88" s="1" t="str">
        <f ca="1">IFERROR(__xludf.DUMMYFUNCTION("""COMPUTED_VALUE""")," ")</f>
        <v xml:space="preserve"> </v>
      </c>
      <c r="H88" s="1" t="str">
        <f ca="1">IFERROR(__xludf.DUMMYFUNCTION("""COMPUTED_VALUE""")," ")</f>
        <v xml:space="preserve"> </v>
      </c>
      <c r="I88" s="1" t="str">
        <f ca="1">IFERROR(__xludf.DUMMYFUNCTION("""COMPUTED_VALUE""")," ")</f>
        <v xml:space="preserve"> </v>
      </c>
      <c r="J88" s="1" t="str">
        <f ca="1">IFERROR(__xludf.DUMMYFUNCTION("""COMPUTED_VALUE""")," ")</f>
        <v xml:space="preserve"> </v>
      </c>
      <c r="K88" s="1">
        <f ca="1">IFERROR(__xludf.DUMMYFUNCTION("""COMPUTED_VALUE"""),86)</f>
        <v>86</v>
      </c>
      <c r="L88" s="1" t="str">
        <f ca="1">IFERROR(__xludf.DUMMYFUNCTION("""COMPUTED_VALUE"""),"Fiona McAvoy")</f>
        <v>Fiona McAvoy</v>
      </c>
      <c r="M88" s="1" t="str">
        <f ca="1">IFERROR(__xludf.DUMMYFUNCTION("""COMPUTED_VALUE"""),"F55")</f>
        <v>F55</v>
      </c>
      <c r="N88" s="1" t="str">
        <f ca="1">IFERROR(__xludf.DUMMYFUNCTION("""COMPUTED_VALUE"""),"Scrabo Striders")</f>
        <v>Scrabo Striders</v>
      </c>
      <c r="O88" s="3">
        <f ca="1">IFERROR(__xludf.DUMMYFUNCTION("""COMPUTED_VALUE"""),0.0174768518518518)</f>
        <v>1.7476851851851799E-2</v>
      </c>
      <c r="P88" s="1" t="str">
        <f ca="1">IFERROR(__xludf.DUMMYFUNCTION("""COMPUTED_VALUE""")," ")</f>
        <v xml:space="preserve"> </v>
      </c>
      <c r="Q88" s="1" t="str">
        <f ca="1">IFERROR(__xludf.DUMMYFUNCTION("""COMPUTED_VALUE""")," ")</f>
        <v xml:space="preserve"> </v>
      </c>
      <c r="R88" s="1" t="str">
        <f ca="1">IFERROR(__xludf.DUMMYFUNCTION("""COMPUTED_VALUE""")," ")</f>
        <v xml:space="preserve"> </v>
      </c>
      <c r="S88" s="1" t="str">
        <f ca="1">IFERROR(__xludf.DUMMYFUNCTION("""COMPUTED_VALUE""")," ")</f>
        <v xml:space="preserve"> </v>
      </c>
      <c r="T88" s="1" t="str">
        <f ca="1">IFERROR(__xludf.DUMMYFUNCTION("""COMPUTED_VALUE""")," ")</f>
        <v xml:space="preserve"> </v>
      </c>
      <c r="U88" s="1">
        <f ca="1">IFERROR(__xludf.DUMMYFUNCTION("""COMPUTED_VALUE"""),86)</f>
        <v>86</v>
      </c>
      <c r="V88" s="1" t="str">
        <f ca="1">IFERROR(__xludf.DUMMYFUNCTION("""COMPUTED_VALUE"""),"Aaron Ansfield")</f>
        <v>Aaron Ansfield</v>
      </c>
      <c r="W88" s="1" t="str">
        <f ca="1">IFERROR(__xludf.DUMMYFUNCTION("""COMPUTED_VALUE"""),"MJ")</f>
        <v>MJ</v>
      </c>
      <c r="X88" s="1" t="str">
        <f ca="1">IFERROR(__xludf.DUMMYFUNCTION("""COMPUTED_VALUE"""),"St Michael's Enniskillen")</f>
        <v>St Michael's Enniskillen</v>
      </c>
      <c r="Y88" s="3">
        <f ca="1">IFERROR(__xludf.DUMMYFUNCTION("""COMPUTED_VALUE"""),0.0197800925925925)</f>
        <v>1.9780092592592498E-2</v>
      </c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 t="str">
        <f ca="1">IFERROR(__xludf.DUMMYFUNCTION("""COMPUTED_VALUE""")," ")</f>
        <v xml:space="preserve"> </v>
      </c>
      <c r="BI88" s="1" t="str">
        <f ca="1">IFERROR(__xludf.DUMMYFUNCTION("""COMPUTED_VALUE""")," ")</f>
        <v xml:space="preserve"> </v>
      </c>
      <c r="BJ88" s="1" t="str">
        <f ca="1">IFERROR(__xludf.DUMMYFUNCTION("""COMPUTED_VALUE""")," ")</f>
        <v xml:space="preserve"> </v>
      </c>
    </row>
    <row r="89" spans="1:62" x14ac:dyDescent="0.25">
      <c r="A89" s="1" t="str">
        <f ca="1">IFERROR(__xludf.DUMMYFUNCTION("""COMPUTED_VALUE""")," ")</f>
        <v xml:space="preserve"> </v>
      </c>
      <c r="B89" s="1" t="str">
        <f ca="1">IFERROR(__xludf.DUMMYFUNCTION("""COMPUTED_VALUE""")," ")</f>
        <v xml:space="preserve"> </v>
      </c>
      <c r="C89" s="1" t="str">
        <f ca="1">IFERROR(__xludf.DUMMYFUNCTION("""COMPUTED_VALUE""")," ")</f>
        <v xml:space="preserve"> </v>
      </c>
      <c r="D89" s="1" t="str">
        <f ca="1">IFERROR(__xludf.DUMMYFUNCTION("""COMPUTED_VALUE""")," ")</f>
        <v xml:space="preserve"> </v>
      </c>
      <c r="E89" s="1" t="str">
        <f ca="1">IFERROR(__xludf.DUMMYFUNCTION("""COMPUTED_VALUE""")," ")</f>
        <v xml:space="preserve"> </v>
      </c>
      <c r="F89" s="1" t="str">
        <f ca="1">IFERROR(__xludf.DUMMYFUNCTION("""COMPUTED_VALUE""")," ")</f>
        <v xml:space="preserve"> </v>
      </c>
      <c r="G89" s="1" t="str">
        <f ca="1">IFERROR(__xludf.DUMMYFUNCTION("""COMPUTED_VALUE""")," ")</f>
        <v xml:space="preserve"> </v>
      </c>
      <c r="H89" s="1" t="str">
        <f ca="1">IFERROR(__xludf.DUMMYFUNCTION("""COMPUTED_VALUE""")," ")</f>
        <v xml:space="preserve"> </v>
      </c>
      <c r="I89" s="1" t="str">
        <f ca="1">IFERROR(__xludf.DUMMYFUNCTION("""COMPUTED_VALUE""")," ")</f>
        <v xml:space="preserve"> </v>
      </c>
      <c r="J89" s="1" t="str">
        <f ca="1">IFERROR(__xludf.DUMMYFUNCTION("""COMPUTED_VALUE""")," ")</f>
        <v xml:space="preserve"> </v>
      </c>
      <c r="K89" s="1">
        <f ca="1">IFERROR(__xludf.DUMMYFUNCTION("""COMPUTED_VALUE"""),87)</f>
        <v>87</v>
      </c>
      <c r="L89" s="1" t="str">
        <f ca="1">IFERROR(__xludf.DUMMYFUNCTION("""COMPUTED_VALUE"""),"Paula Gray")</f>
        <v>Paula Gray</v>
      </c>
      <c r="M89" s="1" t="str">
        <f ca="1">IFERROR(__xludf.DUMMYFUNCTION("""COMPUTED_VALUE"""),"F35")</f>
        <v>F35</v>
      </c>
      <c r="N89" s="1" t="str">
        <f ca="1">IFERROR(__xludf.DUMMYFUNCTION("""COMPUTED_VALUE"""),"Ballydrain Harriers")</f>
        <v>Ballydrain Harriers</v>
      </c>
      <c r="O89" s="3">
        <f ca="1">IFERROR(__xludf.DUMMYFUNCTION("""COMPUTED_VALUE"""),0.0175810185185185)</f>
        <v>1.7581018518518499E-2</v>
      </c>
      <c r="P89" s="1" t="str">
        <f ca="1">IFERROR(__xludf.DUMMYFUNCTION("""COMPUTED_VALUE""")," ")</f>
        <v xml:space="preserve"> </v>
      </c>
      <c r="Q89" s="1" t="str">
        <f ca="1">IFERROR(__xludf.DUMMYFUNCTION("""COMPUTED_VALUE""")," ")</f>
        <v xml:space="preserve"> </v>
      </c>
      <c r="R89" s="1" t="str">
        <f ca="1">IFERROR(__xludf.DUMMYFUNCTION("""COMPUTED_VALUE""")," ")</f>
        <v xml:space="preserve"> </v>
      </c>
      <c r="S89" s="1" t="str">
        <f ca="1">IFERROR(__xludf.DUMMYFUNCTION("""COMPUTED_VALUE""")," ")</f>
        <v xml:space="preserve"> </v>
      </c>
      <c r="T89" s="1" t="str">
        <f ca="1">IFERROR(__xludf.DUMMYFUNCTION("""COMPUTED_VALUE""")," ")</f>
        <v xml:space="preserve"> </v>
      </c>
      <c r="U89" s="1">
        <f ca="1">IFERROR(__xludf.DUMMYFUNCTION("""COMPUTED_VALUE"""),87)</f>
        <v>87</v>
      </c>
      <c r="V89" s="1" t="str">
        <f ca="1">IFERROR(__xludf.DUMMYFUNCTION("""COMPUTED_VALUE"""),"Gary Cull")</f>
        <v>Gary Cull</v>
      </c>
      <c r="W89" s="1" t="str">
        <f ca="1">IFERROR(__xludf.DUMMYFUNCTION("""COMPUTED_VALUE"""),"M45")</f>
        <v>M45</v>
      </c>
      <c r="X89" s="1" t="str">
        <f ca="1">IFERROR(__xludf.DUMMYFUNCTION("""COMPUTED_VALUE"""),"Murlough AC")</f>
        <v>Murlough AC</v>
      </c>
      <c r="Y89" s="3">
        <f ca="1">IFERROR(__xludf.DUMMYFUNCTION("""COMPUTED_VALUE"""),0.0198958333333333)</f>
        <v>1.98958333333333E-2</v>
      </c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 t="str">
        <f ca="1">IFERROR(__xludf.DUMMYFUNCTION("""COMPUTED_VALUE""")," ")</f>
        <v xml:space="preserve"> </v>
      </c>
      <c r="BI89" s="1" t="str">
        <f ca="1">IFERROR(__xludf.DUMMYFUNCTION("""COMPUTED_VALUE""")," ")</f>
        <v xml:space="preserve"> </v>
      </c>
      <c r="BJ89" s="1" t="str">
        <f ca="1">IFERROR(__xludf.DUMMYFUNCTION("""COMPUTED_VALUE""")," ")</f>
        <v xml:space="preserve"> </v>
      </c>
    </row>
    <row r="90" spans="1:62" x14ac:dyDescent="0.25">
      <c r="A90" s="1" t="str">
        <f ca="1">IFERROR(__xludf.DUMMYFUNCTION("""COMPUTED_VALUE""")," ")</f>
        <v xml:space="preserve"> </v>
      </c>
      <c r="B90" s="1" t="str">
        <f ca="1">IFERROR(__xludf.DUMMYFUNCTION("""COMPUTED_VALUE""")," ")</f>
        <v xml:space="preserve"> </v>
      </c>
      <c r="C90" s="1" t="str">
        <f ca="1">IFERROR(__xludf.DUMMYFUNCTION("""COMPUTED_VALUE""")," ")</f>
        <v xml:space="preserve"> </v>
      </c>
      <c r="D90" s="1" t="str">
        <f ca="1">IFERROR(__xludf.DUMMYFUNCTION("""COMPUTED_VALUE""")," ")</f>
        <v xml:space="preserve"> </v>
      </c>
      <c r="E90" s="1" t="str">
        <f ca="1">IFERROR(__xludf.DUMMYFUNCTION("""COMPUTED_VALUE""")," ")</f>
        <v xml:space="preserve"> </v>
      </c>
      <c r="F90" s="1" t="str">
        <f ca="1">IFERROR(__xludf.DUMMYFUNCTION("""COMPUTED_VALUE""")," ")</f>
        <v xml:space="preserve"> </v>
      </c>
      <c r="G90" s="1" t="str">
        <f ca="1">IFERROR(__xludf.DUMMYFUNCTION("""COMPUTED_VALUE""")," ")</f>
        <v xml:space="preserve"> </v>
      </c>
      <c r="H90" s="1" t="str">
        <f ca="1">IFERROR(__xludf.DUMMYFUNCTION("""COMPUTED_VALUE""")," ")</f>
        <v xml:space="preserve"> </v>
      </c>
      <c r="I90" s="1" t="str">
        <f ca="1">IFERROR(__xludf.DUMMYFUNCTION("""COMPUTED_VALUE""")," ")</f>
        <v xml:space="preserve"> </v>
      </c>
      <c r="J90" s="1" t="str">
        <f ca="1">IFERROR(__xludf.DUMMYFUNCTION("""COMPUTED_VALUE""")," ")</f>
        <v xml:space="preserve"> </v>
      </c>
      <c r="K90" s="1">
        <f ca="1">IFERROR(__xludf.DUMMYFUNCTION("""COMPUTED_VALUE"""),88)</f>
        <v>88</v>
      </c>
      <c r="L90" s="1" t="str">
        <f ca="1">IFERROR(__xludf.DUMMYFUNCTION("""COMPUTED_VALUE"""),"Suzanne Dickey")</f>
        <v>Suzanne Dickey</v>
      </c>
      <c r="M90" s="1" t="str">
        <f ca="1">IFERROR(__xludf.DUMMYFUNCTION("""COMPUTED_VALUE"""),"F35")</f>
        <v>F35</v>
      </c>
      <c r="N90" s="1" t="str">
        <f ca="1">IFERROR(__xludf.DUMMYFUNCTION("""COMPUTED_VALUE"""),"County Antrim Harriers")</f>
        <v>County Antrim Harriers</v>
      </c>
      <c r="O90" s="3">
        <f ca="1">IFERROR(__xludf.DUMMYFUNCTION("""COMPUTED_VALUE"""),0.0176041666666666)</f>
        <v>1.7604166666666601E-2</v>
      </c>
      <c r="P90" s="1" t="str">
        <f ca="1">IFERROR(__xludf.DUMMYFUNCTION("""COMPUTED_VALUE""")," ")</f>
        <v xml:space="preserve"> </v>
      </c>
      <c r="Q90" s="1" t="str">
        <f ca="1">IFERROR(__xludf.DUMMYFUNCTION("""COMPUTED_VALUE""")," ")</f>
        <v xml:space="preserve"> </v>
      </c>
      <c r="R90" s="1" t="str">
        <f ca="1">IFERROR(__xludf.DUMMYFUNCTION("""COMPUTED_VALUE""")," ")</f>
        <v xml:space="preserve"> </v>
      </c>
      <c r="S90" s="1" t="str">
        <f ca="1">IFERROR(__xludf.DUMMYFUNCTION("""COMPUTED_VALUE""")," ")</f>
        <v xml:space="preserve"> </v>
      </c>
      <c r="T90" s="1" t="str">
        <f ca="1">IFERROR(__xludf.DUMMYFUNCTION("""COMPUTED_VALUE""")," ")</f>
        <v xml:space="preserve"> </v>
      </c>
      <c r="U90" s="1">
        <f ca="1">IFERROR(__xludf.DUMMYFUNCTION("""COMPUTED_VALUE"""),88)</f>
        <v>88</v>
      </c>
      <c r="V90" s="1" t="str">
        <f ca="1">IFERROR(__xludf.DUMMYFUNCTION("""COMPUTED_VALUE"""),"Michael Megaw")</f>
        <v>Michael Megaw</v>
      </c>
      <c r="W90" s="1" t="str">
        <f ca="1">IFERROR(__xludf.DUMMYFUNCTION("""COMPUTED_VALUE"""),"MO")</f>
        <v>MO</v>
      </c>
      <c r="X90" s="1" t="str">
        <f ca="1">IFERROR(__xludf.DUMMYFUNCTION("""COMPUTED_VALUE"""),"Jog Moira")</f>
        <v>Jog Moira</v>
      </c>
      <c r="Y90" s="3">
        <f ca="1">IFERROR(__xludf.DUMMYFUNCTION("""COMPUTED_VALUE"""),0.0199537037037037)</f>
        <v>1.9953703703703699E-2</v>
      </c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 t="str">
        <f ca="1">IFERROR(__xludf.DUMMYFUNCTION("""COMPUTED_VALUE""")," ")</f>
        <v xml:space="preserve"> </v>
      </c>
      <c r="BI90" s="1" t="str">
        <f ca="1">IFERROR(__xludf.DUMMYFUNCTION("""COMPUTED_VALUE""")," ")</f>
        <v xml:space="preserve"> </v>
      </c>
      <c r="BJ90" s="1" t="str">
        <f ca="1">IFERROR(__xludf.DUMMYFUNCTION("""COMPUTED_VALUE""")," ")</f>
        <v xml:space="preserve"> </v>
      </c>
    </row>
    <row r="91" spans="1:62" x14ac:dyDescent="0.25">
      <c r="A91" s="1" t="str">
        <f ca="1">IFERROR(__xludf.DUMMYFUNCTION("""COMPUTED_VALUE""")," ")</f>
        <v xml:space="preserve"> </v>
      </c>
      <c r="B91" s="1" t="str">
        <f ca="1">IFERROR(__xludf.DUMMYFUNCTION("""COMPUTED_VALUE""")," ")</f>
        <v xml:space="preserve"> </v>
      </c>
      <c r="C91" s="1" t="str">
        <f ca="1">IFERROR(__xludf.DUMMYFUNCTION("""COMPUTED_VALUE""")," ")</f>
        <v xml:space="preserve"> </v>
      </c>
      <c r="D91" s="1" t="str">
        <f ca="1">IFERROR(__xludf.DUMMYFUNCTION("""COMPUTED_VALUE""")," ")</f>
        <v xml:space="preserve"> </v>
      </c>
      <c r="E91" s="1" t="str">
        <f ca="1">IFERROR(__xludf.DUMMYFUNCTION("""COMPUTED_VALUE""")," ")</f>
        <v xml:space="preserve"> </v>
      </c>
      <c r="F91" s="1" t="str">
        <f ca="1">IFERROR(__xludf.DUMMYFUNCTION("""COMPUTED_VALUE""")," ")</f>
        <v xml:space="preserve"> </v>
      </c>
      <c r="G91" s="1" t="str">
        <f ca="1">IFERROR(__xludf.DUMMYFUNCTION("""COMPUTED_VALUE""")," ")</f>
        <v xml:space="preserve"> </v>
      </c>
      <c r="H91" s="1" t="str">
        <f ca="1">IFERROR(__xludf.DUMMYFUNCTION("""COMPUTED_VALUE""")," ")</f>
        <v xml:space="preserve"> </v>
      </c>
      <c r="I91" s="1" t="str">
        <f ca="1">IFERROR(__xludf.DUMMYFUNCTION("""COMPUTED_VALUE""")," ")</f>
        <v xml:space="preserve"> </v>
      </c>
      <c r="J91" s="1" t="str">
        <f ca="1">IFERROR(__xludf.DUMMYFUNCTION("""COMPUTED_VALUE""")," ")</f>
        <v xml:space="preserve"> </v>
      </c>
      <c r="K91" s="1">
        <f ca="1">IFERROR(__xludf.DUMMYFUNCTION("""COMPUTED_VALUE"""),89)</f>
        <v>89</v>
      </c>
      <c r="L91" s="1" t="str">
        <f ca="1">IFERROR(__xludf.DUMMYFUNCTION("""COMPUTED_VALUE"""),"Roisin Gaffney")</f>
        <v>Roisin Gaffney</v>
      </c>
      <c r="M91" s="1" t="str">
        <f ca="1">IFERROR(__xludf.DUMMYFUNCTION("""COMPUTED_VALUE"""),"F55")</f>
        <v>F55</v>
      </c>
      <c r="N91" s="1" t="str">
        <f ca="1">IFERROR(__xludf.DUMMYFUNCTION("""COMPUTED_VALUE"""),"East Down AC")</f>
        <v>East Down AC</v>
      </c>
      <c r="O91" s="3">
        <f ca="1">IFERROR(__xludf.DUMMYFUNCTION("""COMPUTED_VALUE"""),0.0176504629629629)</f>
        <v>1.7650462962962899E-2</v>
      </c>
      <c r="P91" s="1" t="str">
        <f ca="1">IFERROR(__xludf.DUMMYFUNCTION("""COMPUTED_VALUE""")," ")</f>
        <v xml:space="preserve"> </v>
      </c>
      <c r="Q91" s="1" t="str">
        <f ca="1">IFERROR(__xludf.DUMMYFUNCTION("""COMPUTED_VALUE""")," ")</f>
        <v xml:space="preserve"> </v>
      </c>
      <c r="R91" s="1" t="str">
        <f ca="1">IFERROR(__xludf.DUMMYFUNCTION("""COMPUTED_VALUE""")," ")</f>
        <v xml:space="preserve"> </v>
      </c>
      <c r="S91" s="1" t="str">
        <f ca="1">IFERROR(__xludf.DUMMYFUNCTION("""COMPUTED_VALUE""")," ")</f>
        <v xml:space="preserve"> </v>
      </c>
      <c r="T91" s="1" t="str">
        <f ca="1">IFERROR(__xludf.DUMMYFUNCTION("""COMPUTED_VALUE""")," ")</f>
        <v xml:space="preserve"> </v>
      </c>
      <c r="U91" s="1">
        <f ca="1">IFERROR(__xludf.DUMMYFUNCTION("""COMPUTED_VALUE"""),89)</f>
        <v>89</v>
      </c>
      <c r="V91" s="1" t="str">
        <f ca="1">IFERROR(__xludf.DUMMYFUNCTION("""COMPUTED_VALUE"""),"Stephen Gallagher")</f>
        <v>Stephen Gallagher</v>
      </c>
      <c r="W91" s="1" t="str">
        <f ca="1">IFERROR(__xludf.DUMMYFUNCTION("""COMPUTED_VALUE"""),"M35")</f>
        <v>M35</v>
      </c>
      <c r="X91" s="1" t="str">
        <f ca="1">IFERROR(__xludf.DUMMYFUNCTION("""COMPUTED_VALUE"""),"Mallusk Harriers")</f>
        <v>Mallusk Harriers</v>
      </c>
      <c r="Y91" s="3">
        <f ca="1">IFERROR(__xludf.DUMMYFUNCTION("""COMPUTED_VALUE"""),0.0200347222222222)</f>
        <v>2.00347222222222E-2</v>
      </c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 t="str">
        <f ca="1">IFERROR(__xludf.DUMMYFUNCTION("""COMPUTED_VALUE""")," ")</f>
        <v xml:space="preserve"> </v>
      </c>
      <c r="BI91" s="1" t="str">
        <f ca="1">IFERROR(__xludf.DUMMYFUNCTION("""COMPUTED_VALUE""")," ")</f>
        <v xml:space="preserve"> </v>
      </c>
      <c r="BJ91" s="1" t="str">
        <f ca="1">IFERROR(__xludf.DUMMYFUNCTION("""COMPUTED_VALUE""")," ")</f>
        <v xml:space="preserve"> </v>
      </c>
    </row>
    <row r="92" spans="1:62" x14ac:dyDescent="0.25">
      <c r="A92" s="1" t="str">
        <f ca="1">IFERROR(__xludf.DUMMYFUNCTION("""COMPUTED_VALUE""")," ")</f>
        <v xml:space="preserve"> </v>
      </c>
      <c r="B92" s="1" t="str">
        <f ca="1">IFERROR(__xludf.DUMMYFUNCTION("""COMPUTED_VALUE""")," ")</f>
        <v xml:space="preserve"> </v>
      </c>
      <c r="C92" s="1" t="str">
        <f ca="1">IFERROR(__xludf.DUMMYFUNCTION("""COMPUTED_VALUE""")," ")</f>
        <v xml:space="preserve"> </v>
      </c>
      <c r="D92" s="1" t="str">
        <f ca="1">IFERROR(__xludf.DUMMYFUNCTION("""COMPUTED_VALUE""")," ")</f>
        <v xml:space="preserve"> </v>
      </c>
      <c r="E92" s="1" t="str">
        <f ca="1">IFERROR(__xludf.DUMMYFUNCTION("""COMPUTED_VALUE""")," ")</f>
        <v xml:space="preserve"> </v>
      </c>
      <c r="F92" s="1" t="str">
        <f ca="1">IFERROR(__xludf.DUMMYFUNCTION("""COMPUTED_VALUE""")," ")</f>
        <v xml:space="preserve"> </v>
      </c>
      <c r="G92" s="1" t="str">
        <f ca="1">IFERROR(__xludf.DUMMYFUNCTION("""COMPUTED_VALUE""")," ")</f>
        <v xml:space="preserve"> </v>
      </c>
      <c r="H92" s="1" t="str">
        <f ca="1">IFERROR(__xludf.DUMMYFUNCTION("""COMPUTED_VALUE""")," ")</f>
        <v xml:space="preserve"> </v>
      </c>
      <c r="I92" s="1" t="str">
        <f ca="1">IFERROR(__xludf.DUMMYFUNCTION("""COMPUTED_VALUE""")," ")</f>
        <v xml:space="preserve"> </v>
      </c>
      <c r="J92" s="1" t="str">
        <f ca="1">IFERROR(__xludf.DUMMYFUNCTION("""COMPUTED_VALUE""")," ")</f>
        <v xml:space="preserve"> </v>
      </c>
      <c r="K92" s="1">
        <f ca="1">IFERROR(__xludf.DUMMYFUNCTION("""COMPUTED_VALUE"""),90)</f>
        <v>90</v>
      </c>
      <c r="L92" s="1" t="str">
        <f ca="1">IFERROR(__xludf.DUMMYFUNCTION("""COMPUTED_VALUE"""),"Alison Busby")</f>
        <v>Alison Busby</v>
      </c>
      <c r="M92" s="1" t="str">
        <f ca="1">IFERROR(__xludf.DUMMYFUNCTION("""COMPUTED_VALUE"""),"F35")</f>
        <v>F35</v>
      </c>
      <c r="N92" s="1" t="str">
        <f ca="1">IFERROR(__xludf.DUMMYFUNCTION("""COMPUTED_VALUE"""),"Scrabo Striders")</f>
        <v>Scrabo Striders</v>
      </c>
      <c r="O92" s="3">
        <f ca="1">IFERROR(__xludf.DUMMYFUNCTION("""COMPUTED_VALUE"""),0.017662037037037)</f>
        <v>1.7662037037037E-2</v>
      </c>
      <c r="P92" s="1" t="str">
        <f ca="1">IFERROR(__xludf.DUMMYFUNCTION("""COMPUTED_VALUE""")," ")</f>
        <v xml:space="preserve"> </v>
      </c>
      <c r="Q92" s="1" t="str">
        <f ca="1">IFERROR(__xludf.DUMMYFUNCTION("""COMPUTED_VALUE""")," ")</f>
        <v xml:space="preserve"> </v>
      </c>
      <c r="R92" s="1" t="str">
        <f ca="1">IFERROR(__xludf.DUMMYFUNCTION("""COMPUTED_VALUE""")," ")</f>
        <v xml:space="preserve"> </v>
      </c>
      <c r="S92" s="1" t="str">
        <f ca="1">IFERROR(__xludf.DUMMYFUNCTION("""COMPUTED_VALUE""")," ")</f>
        <v xml:space="preserve"> </v>
      </c>
      <c r="T92" s="1" t="str">
        <f ca="1">IFERROR(__xludf.DUMMYFUNCTION("""COMPUTED_VALUE""")," ")</f>
        <v xml:space="preserve"> </v>
      </c>
      <c r="U92" s="1">
        <f ca="1">IFERROR(__xludf.DUMMYFUNCTION("""COMPUTED_VALUE"""),90)</f>
        <v>90</v>
      </c>
      <c r="V92" s="1" t="str">
        <f ca="1">IFERROR(__xludf.DUMMYFUNCTION("""COMPUTED_VALUE"""),"Chris Reid")</f>
        <v>Chris Reid</v>
      </c>
      <c r="W92" s="1" t="str">
        <f ca="1">IFERROR(__xludf.DUMMYFUNCTION("""COMPUTED_VALUE"""),"M35")</f>
        <v>M35</v>
      </c>
      <c r="X92" s="1" t="str">
        <f ca="1">IFERROR(__xludf.DUMMYFUNCTION("""COMPUTED_VALUE"""),"Victoria Park &amp; Connswater AC")</f>
        <v>Victoria Park &amp; Connswater AC</v>
      </c>
      <c r="Y92" s="3">
        <f ca="1">IFERROR(__xludf.DUMMYFUNCTION("""COMPUTED_VALUE"""),0.0200694444444444)</f>
        <v>2.00694444444444E-2</v>
      </c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 t="str">
        <f ca="1">IFERROR(__xludf.DUMMYFUNCTION("""COMPUTED_VALUE""")," ")</f>
        <v xml:space="preserve"> </v>
      </c>
      <c r="BI92" s="1" t="str">
        <f ca="1">IFERROR(__xludf.DUMMYFUNCTION("""COMPUTED_VALUE""")," ")</f>
        <v xml:space="preserve"> </v>
      </c>
      <c r="BJ92" s="1" t="str">
        <f ca="1">IFERROR(__xludf.DUMMYFUNCTION("""COMPUTED_VALUE""")," ")</f>
        <v xml:space="preserve"> </v>
      </c>
    </row>
    <row r="93" spans="1:62" x14ac:dyDescent="0.25">
      <c r="A93" s="1" t="str">
        <f ca="1">IFERROR(__xludf.DUMMYFUNCTION("""COMPUTED_VALUE""")," ")</f>
        <v xml:space="preserve"> </v>
      </c>
      <c r="B93" s="1" t="str">
        <f ca="1">IFERROR(__xludf.DUMMYFUNCTION("""COMPUTED_VALUE""")," ")</f>
        <v xml:space="preserve"> </v>
      </c>
      <c r="C93" s="1" t="str">
        <f ca="1">IFERROR(__xludf.DUMMYFUNCTION("""COMPUTED_VALUE""")," ")</f>
        <v xml:space="preserve"> </v>
      </c>
      <c r="D93" s="1" t="str">
        <f ca="1">IFERROR(__xludf.DUMMYFUNCTION("""COMPUTED_VALUE""")," ")</f>
        <v xml:space="preserve"> </v>
      </c>
      <c r="E93" s="1" t="str">
        <f ca="1">IFERROR(__xludf.DUMMYFUNCTION("""COMPUTED_VALUE""")," ")</f>
        <v xml:space="preserve"> </v>
      </c>
      <c r="F93" s="1" t="str">
        <f ca="1">IFERROR(__xludf.DUMMYFUNCTION("""COMPUTED_VALUE""")," ")</f>
        <v xml:space="preserve"> </v>
      </c>
      <c r="G93" s="1" t="str">
        <f ca="1">IFERROR(__xludf.DUMMYFUNCTION("""COMPUTED_VALUE""")," ")</f>
        <v xml:space="preserve"> </v>
      </c>
      <c r="H93" s="1" t="str">
        <f ca="1">IFERROR(__xludf.DUMMYFUNCTION("""COMPUTED_VALUE""")," ")</f>
        <v xml:space="preserve"> </v>
      </c>
      <c r="I93" s="1" t="str">
        <f ca="1">IFERROR(__xludf.DUMMYFUNCTION("""COMPUTED_VALUE""")," ")</f>
        <v xml:space="preserve"> </v>
      </c>
      <c r="J93" s="1" t="str">
        <f ca="1">IFERROR(__xludf.DUMMYFUNCTION("""COMPUTED_VALUE""")," ")</f>
        <v xml:space="preserve"> </v>
      </c>
      <c r="K93" s="1">
        <f ca="1">IFERROR(__xludf.DUMMYFUNCTION("""COMPUTED_VALUE"""),91)</f>
        <v>91</v>
      </c>
      <c r="L93" s="1" t="str">
        <f ca="1">IFERROR(__xludf.DUMMYFUNCTION("""COMPUTED_VALUE"""),"Clare Rimmer")</f>
        <v>Clare Rimmer</v>
      </c>
      <c r="M93" s="1" t="str">
        <f ca="1">IFERROR(__xludf.DUMMYFUNCTION("""COMPUTED_VALUE"""),"F40")</f>
        <v>F40</v>
      </c>
      <c r="N93" s="1" t="str">
        <f ca="1">IFERROR(__xludf.DUMMYFUNCTION("""COMPUTED_VALUE"""),"Jog Moira")</f>
        <v>Jog Moira</v>
      </c>
      <c r="O93" s="3">
        <f ca="1">IFERROR(__xludf.DUMMYFUNCTION("""COMPUTED_VALUE"""),0.0177083333333333)</f>
        <v>1.7708333333333302E-2</v>
      </c>
      <c r="P93" s="1" t="str">
        <f ca="1">IFERROR(__xludf.DUMMYFUNCTION("""COMPUTED_VALUE""")," ")</f>
        <v xml:space="preserve"> </v>
      </c>
      <c r="Q93" s="1" t="str">
        <f ca="1">IFERROR(__xludf.DUMMYFUNCTION("""COMPUTED_VALUE""")," ")</f>
        <v xml:space="preserve"> </v>
      </c>
      <c r="R93" s="1" t="str">
        <f ca="1">IFERROR(__xludf.DUMMYFUNCTION("""COMPUTED_VALUE""")," ")</f>
        <v xml:space="preserve"> </v>
      </c>
      <c r="S93" s="1" t="str">
        <f ca="1">IFERROR(__xludf.DUMMYFUNCTION("""COMPUTED_VALUE""")," ")</f>
        <v xml:space="preserve"> </v>
      </c>
      <c r="T93" s="1" t="str">
        <f ca="1">IFERROR(__xludf.DUMMYFUNCTION("""COMPUTED_VALUE""")," ")</f>
        <v xml:space="preserve"> </v>
      </c>
      <c r="U93" s="1">
        <f ca="1">IFERROR(__xludf.DUMMYFUNCTION("""COMPUTED_VALUE"""),91)</f>
        <v>91</v>
      </c>
      <c r="V93" s="1" t="str">
        <f ca="1">IFERROR(__xludf.DUMMYFUNCTION("""COMPUTED_VALUE"""),"Alan Erwin")</f>
        <v>Alan Erwin</v>
      </c>
      <c r="W93" s="1" t="str">
        <f ca="1">IFERROR(__xludf.DUMMYFUNCTION("""COMPUTED_VALUE"""),"M45")</f>
        <v>M45</v>
      </c>
      <c r="X93" s="1" t="str">
        <f ca="1">IFERROR(__xludf.DUMMYFUNCTION("""COMPUTED_VALUE"""),"Mallusk Harriers")</f>
        <v>Mallusk Harriers</v>
      </c>
      <c r="Y93" s="3">
        <f ca="1">IFERROR(__xludf.DUMMYFUNCTION("""COMPUTED_VALUE"""),0.0201041666666666)</f>
        <v>2.01041666666666E-2</v>
      </c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 t="str">
        <f ca="1">IFERROR(__xludf.DUMMYFUNCTION("""COMPUTED_VALUE""")," ")</f>
        <v xml:space="preserve"> </v>
      </c>
      <c r="BI93" s="1" t="str">
        <f ca="1">IFERROR(__xludf.DUMMYFUNCTION("""COMPUTED_VALUE""")," ")</f>
        <v xml:space="preserve"> </v>
      </c>
      <c r="BJ93" s="1" t="str">
        <f ca="1">IFERROR(__xludf.DUMMYFUNCTION("""COMPUTED_VALUE""")," ")</f>
        <v xml:space="preserve"> </v>
      </c>
    </row>
    <row r="94" spans="1:62" x14ac:dyDescent="0.25">
      <c r="A94" s="1" t="str">
        <f ca="1">IFERROR(__xludf.DUMMYFUNCTION("""COMPUTED_VALUE""")," ")</f>
        <v xml:space="preserve"> </v>
      </c>
      <c r="B94" s="1" t="str">
        <f ca="1">IFERROR(__xludf.DUMMYFUNCTION("""COMPUTED_VALUE""")," ")</f>
        <v xml:space="preserve"> </v>
      </c>
      <c r="C94" s="1" t="str">
        <f ca="1">IFERROR(__xludf.DUMMYFUNCTION("""COMPUTED_VALUE""")," ")</f>
        <v xml:space="preserve"> </v>
      </c>
      <c r="D94" s="1" t="str">
        <f ca="1">IFERROR(__xludf.DUMMYFUNCTION("""COMPUTED_VALUE""")," ")</f>
        <v xml:space="preserve"> </v>
      </c>
      <c r="E94" s="1" t="str">
        <f ca="1">IFERROR(__xludf.DUMMYFUNCTION("""COMPUTED_VALUE""")," ")</f>
        <v xml:space="preserve"> </v>
      </c>
      <c r="F94" s="1" t="str">
        <f ca="1">IFERROR(__xludf.DUMMYFUNCTION("""COMPUTED_VALUE""")," ")</f>
        <v xml:space="preserve"> </v>
      </c>
      <c r="G94" s="1" t="str">
        <f ca="1">IFERROR(__xludf.DUMMYFUNCTION("""COMPUTED_VALUE""")," ")</f>
        <v xml:space="preserve"> </v>
      </c>
      <c r="H94" s="1" t="str">
        <f ca="1">IFERROR(__xludf.DUMMYFUNCTION("""COMPUTED_VALUE""")," ")</f>
        <v xml:space="preserve"> </v>
      </c>
      <c r="I94" s="1" t="str">
        <f ca="1">IFERROR(__xludf.DUMMYFUNCTION("""COMPUTED_VALUE""")," ")</f>
        <v xml:space="preserve"> </v>
      </c>
      <c r="J94" s="1" t="str">
        <f ca="1">IFERROR(__xludf.DUMMYFUNCTION("""COMPUTED_VALUE""")," ")</f>
        <v xml:space="preserve"> </v>
      </c>
      <c r="K94" s="1">
        <f ca="1">IFERROR(__xludf.DUMMYFUNCTION("""COMPUTED_VALUE"""),92)</f>
        <v>92</v>
      </c>
      <c r="L94" s="1" t="str">
        <f ca="1">IFERROR(__xludf.DUMMYFUNCTION("""COMPUTED_VALUE"""),"Karen McClean")</f>
        <v>Karen McClean</v>
      </c>
      <c r="M94" s="1" t="str">
        <f ca="1">IFERROR(__xludf.DUMMYFUNCTION("""COMPUTED_VALUE"""),"F50")</f>
        <v>F50</v>
      </c>
      <c r="N94" s="1" t="str">
        <f ca="1">IFERROR(__xludf.DUMMYFUNCTION("""COMPUTED_VALUE"""),"North Belfast Harriers")</f>
        <v>North Belfast Harriers</v>
      </c>
      <c r="O94" s="3">
        <f ca="1">IFERROR(__xludf.DUMMYFUNCTION("""COMPUTED_VALUE"""),0.0177083333333333)</f>
        <v>1.7708333333333302E-2</v>
      </c>
      <c r="P94" s="1" t="str">
        <f ca="1">IFERROR(__xludf.DUMMYFUNCTION("""COMPUTED_VALUE""")," ")</f>
        <v xml:space="preserve"> </v>
      </c>
      <c r="Q94" s="1" t="str">
        <f ca="1">IFERROR(__xludf.DUMMYFUNCTION("""COMPUTED_VALUE""")," ")</f>
        <v xml:space="preserve"> </v>
      </c>
      <c r="R94" s="1" t="str">
        <f ca="1">IFERROR(__xludf.DUMMYFUNCTION("""COMPUTED_VALUE""")," ")</f>
        <v xml:space="preserve"> </v>
      </c>
      <c r="S94" s="1" t="str">
        <f ca="1">IFERROR(__xludf.DUMMYFUNCTION("""COMPUTED_VALUE""")," ")</f>
        <v xml:space="preserve"> </v>
      </c>
      <c r="T94" s="1" t="str">
        <f ca="1">IFERROR(__xludf.DUMMYFUNCTION("""COMPUTED_VALUE""")," ")</f>
        <v xml:space="preserve"> </v>
      </c>
      <c r="U94" s="1">
        <f ca="1">IFERROR(__xludf.DUMMYFUNCTION("""COMPUTED_VALUE"""),92)</f>
        <v>92</v>
      </c>
      <c r="V94" s="1" t="str">
        <f ca="1">IFERROR(__xludf.DUMMYFUNCTION("""COMPUTED_VALUE"""),"Robin Montgomery")</f>
        <v>Robin Montgomery</v>
      </c>
      <c r="W94" s="1" t="str">
        <f ca="1">IFERROR(__xludf.DUMMYFUNCTION("""COMPUTED_VALUE"""),"M50")</f>
        <v>M50</v>
      </c>
      <c r="X94" s="1" t="str">
        <f ca="1">IFERROR(__xludf.DUMMYFUNCTION("""COMPUTED_VALUE"""),"Orangegrove AC")</f>
        <v>Orangegrove AC</v>
      </c>
      <c r="Y94" s="3">
        <f ca="1">IFERROR(__xludf.DUMMYFUNCTION("""COMPUTED_VALUE"""),0.0201157407407407)</f>
        <v>2.0115740740740701E-2</v>
      </c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 t="str">
        <f ca="1">IFERROR(__xludf.DUMMYFUNCTION("""COMPUTED_VALUE""")," ")</f>
        <v xml:space="preserve"> </v>
      </c>
      <c r="BI94" s="1" t="str">
        <f ca="1">IFERROR(__xludf.DUMMYFUNCTION("""COMPUTED_VALUE""")," ")</f>
        <v xml:space="preserve"> </v>
      </c>
      <c r="BJ94" s="1" t="str">
        <f ca="1">IFERROR(__xludf.DUMMYFUNCTION("""COMPUTED_VALUE""")," ")</f>
        <v xml:space="preserve"> </v>
      </c>
    </row>
    <row r="95" spans="1:62" x14ac:dyDescent="0.25">
      <c r="A95" s="1" t="str">
        <f ca="1">IFERROR(__xludf.DUMMYFUNCTION("""COMPUTED_VALUE""")," ")</f>
        <v xml:space="preserve"> </v>
      </c>
      <c r="B95" s="1" t="str">
        <f ca="1">IFERROR(__xludf.DUMMYFUNCTION("""COMPUTED_VALUE""")," ")</f>
        <v xml:space="preserve"> </v>
      </c>
      <c r="C95" s="1" t="str">
        <f ca="1">IFERROR(__xludf.DUMMYFUNCTION("""COMPUTED_VALUE""")," ")</f>
        <v xml:space="preserve"> </v>
      </c>
      <c r="D95" s="1" t="str">
        <f ca="1">IFERROR(__xludf.DUMMYFUNCTION("""COMPUTED_VALUE""")," ")</f>
        <v xml:space="preserve"> </v>
      </c>
      <c r="E95" s="1" t="str">
        <f ca="1">IFERROR(__xludf.DUMMYFUNCTION("""COMPUTED_VALUE""")," ")</f>
        <v xml:space="preserve"> </v>
      </c>
      <c r="F95" s="1" t="str">
        <f ca="1">IFERROR(__xludf.DUMMYFUNCTION("""COMPUTED_VALUE""")," ")</f>
        <v xml:space="preserve"> </v>
      </c>
      <c r="G95" s="1" t="str">
        <f ca="1">IFERROR(__xludf.DUMMYFUNCTION("""COMPUTED_VALUE""")," ")</f>
        <v xml:space="preserve"> </v>
      </c>
      <c r="H95" s="1" t="str">
        <f ca="1">IFERROR(__xludf.DUMMYFUNCTION("""COMPUTED_VALUE""")," ")</f>
        <v xml:space="preserve"> </v>
      </c>
      <c r="I95" s="1" t="str">
        <f ca="1">IFERROR(__xludf.DUMMYFUNCTION("""COMPUTED_VALUE""")," ")</f>
        <v xml:space="preserve"> </v>
      </c>
      <c r="J95" s="1" t="str">
        <f ca="1">IFERROR(__xludf.DUMMYFUNCTION("""COMPUTED_VALUE""")," ")</f>
        <v xml:space="preserve"> </v>
      </c>
      <c r="K95" s="1">
        <f ca="1">IFERROR(__xludf.DUMMYFUNCTION("""COMPUTED_VALUE"""),93)</f>
        <v>93</v>
      </c>
      <c r="L95" s="1" t="str">
        <f ca="1">IFERROR(__xludf.DUMMYFUNCTION("""COMPUTED_VALUE"""),"Tracy McCaughey")</f>
        <v>Tracy McCaughey</v>
      </c>
      <c r="M95" s="1" t="str">
        <f ca="1">IFERROR(__xludf.DUMMYFUNCTION("""COMPUTED_VALUE"""),"F55")</f>
        <v>F55</v>
      </c>
      <c r="N95" s="1" t="str">
        <f ca="1">IFERROR(__xludf.DUMMYFUNCTION("""COMPUTED_VALUE"""),"Murlough AC")</f>
        <v>Murlough AC</v>
      </c>
      <c r="O95" s="3">
        <f ca="1">IFERROR(__xludf.DUMMYFUNCTION("""COMPUTED_VALUE"""),0.0177199074074074)</f>
        <v>1.77199074074074E-2</v>
      </c>
      <c r="P95" s="1" t="str">
        <f ca="1">IFERROR(__xludf.DUMMYFUNCTION("""COMPUTED_VALUE""")," ")</f>
        <v xml:space="preserve"> </v>
      </c>
      <c r="Q95" s="1" t="str">
        <f ca="1">IFERROR(__xludf.DUMMYFUNCTION("""COMPUTED_VALUE""")," ")</f>
        <v xml:space="preserve"> </v>
      </c>
      <c r="R95" s="1" t="str">
        <f ca="1">IFERROR(__xludf.DUMMYFUNCTION("""COMPUTED_VALUE""")," ")</f>
        <v xml:space="preserve"> </v>
      </c>
      <c r="S95" s="1" t="str">
        <f ca="1">IFERROR(__xludf.DUMMYFUNCTION("""COMPUTED_VALUE""")," ")</f>
        <v xml:space="preserve"> </v>
      </c>
      <c r="T95" s="1" t="str">
        <f ca="1">IFERROR(__xludf.DUMMYFUNCTION("""COMPUTED_VALUE""")," ")</f>
        <v xml:space="preserve"> </v>
      </c>
      <c r="U95" s="1">
        <f ca="1">IFERROR(__xludf.DUMMYFUNCTION("""COMPUTED_VALUE"""),93)</f>
        <v>93</v>
      </c>
      <c r="V95" s="1" t="str">
        <f ca="1">IFERROR(__xludf.DUMMYFUNCTION("""COMPUTED_VALUE"""),"Gary Rea")</f>
        <v>Gary Rea</v>
      </c>
      <c r="W95" s="1" t="str">
        <f ca="1">IFERROR(__xludf.DUMMYFUNCTION("""COMPUTED_VALUE"""),"M55")</f>
        <v>M55</v>
      </c>
      <c r="X95" s="1" t="str">
        <f ca="1">IFERROR(__xludf.DUMMYFUNCTION("""COMPUTED_VALUE"""),"Victoria Park &amp; Connswater AC")</f>
        <v>Victoria Park &amp; Connswater AC</v>
      </c>
      <c r="Y95" s="3">
        <f ca="1">IFERROR(__xludf.DUMMYFUNCTION("""COMPUTED_VALUE"""),0.0202083333333333)</f>
        <v>2.02083333333333E-2</v>
      </c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 t="str">
        <f ca="1">IFERROR(__xludf.DUMMYFUNCTION("""COMPUTED_VALUE""")," ")</f>
        <v xml:space="preserve"> </v>
      </c>
      <c r="BI95" s="1" t="str">
        <f ca="1">IFERROR(__xludf.DUMMYFUNCTION("""COMPUTED_VALUE""")," ")</f>
        <v xml:space="preserve"> </v>
      </c>
      <c r="BJ95" s="1" t="str">
        <f ca="1">IFERROR(__xludf.DUMMYFUNCTION("""COMPUTED_VALUE""")," ")</f>
        <v xml:space="preserve"> </v>
      </c>
    </row>
    <row r="96" spans="1:62" x14ac:dyDescent="0.25">
      <c r="A96" s="1" t="str">
        <f ca="1">IFERROR(__xludf.DUMMYFUNCTION("""COMPUTED_VALUE""")," ")</f>
        <v xml:space="preserve"> </v>
      </c>
      <c r="B96" s="1" t="str">
        <f ca="1">IFERROR(__xludf.DUMMYFUNCTION("""COMPUTED_VALUE""")," ")</f>
        <v xml:space="preserve"> </v>
      </c>
      <c r="C96" s="1" t="str">
        <f ca="1">IFERROR(__xludf.DUMMYFUNCTION("""COMPUTED_VALUE""")," ")</f>
        <v xml:space="preserve"> </v>
      </c>
      <c r="D96" s="1" t="str">
        <f ca="1">IFERROR(__xludf.DUMMYFUNCTION("""COMPUTED_VALUE""")," ")</f>
        <v xml:space="preserve"> </v>
      </c>
      <c r="E96" s="1" t="str">
        <f ca="1">IFERROR(__xludf.DUMMYFUNCTION("""COMPUTED_VALUE""")," ")</f>
        <v xml:space="preserve"> </v>
      </c>
      <c r="F96" s="1" t="str">
        <f ca="1">IFERROR(__xludf.DUMMYFUNCTION("""COMPUTED_VALUE""")," ")</f>
        <v xml:space="preserve"> </v>
      </c>
      <c r="G96" s="1" t="str">
        <f ca="1">IFERROR(__xludf.DUMMYFUNCTION("""COMPUTED_VALUE""")," ")</f>
        <v xml:space="preserve"> </v>
      </c>
      <c r="H96" s="1" t="str">
        <f ca="1">IFERROR(__xludf.DUMMYFUNCTION("""COMPUTED_VALUE""")," ")</f>
        <v xml:space="preserve"> </v>
      </c>
      <c r="I96" s="1" t="str">
        <f ca="1">IFERROR(__xludf.DUMMYFUNCTION("""COMPUTED_VALUE""")," ")</f>
        <v xml:space="preserve"> </v>
      </c>
      <c r="J96" s="1" t="str">
        <f ca="1">IFERROR(__xludf.DUMMYFUNCTION("""COMPUTED_VALUE""")," ")</f>
        <v xml:space="preserve"> </v>
      </c>
      <c r="K96" s="1">
        <f ca="1">IFERROR(__xludf.DUMMYFUNCTION("""COMPUTED_VALUE"""),94)</f>
        <v>94</v>
      </c>
      <c r="L96" s="1" t="str">
        <f ca="1">IFERROR(__xludf.DUMMYFUNCTION("""COMPUTED_VALUE"""),"Alison Carroll")</f>
        <v>Alison Carroll</v>
      </c>
      <c r="M96" s="1" t="str">
        <f ca="1">IFERROR(__xludf.DUMMYFUNCTION("""COMPUTED_VALUE"""),"F55")</f>
        <v>F55</v>
      </c>
      <c r="N96" s="1" t="str">
        <f ca="1">IFERROR(__xludf.DUMMYFUNCTION("""COMPUTED_VALUE"""),"East Down AC")</f>
        <v>East Down AC</v>
      </c>
      <c r="O96" s="3">
        <f ca="1">IFERROR(__xludf.DUMMYFUNCTION("""COMPUTED_VALUE"""),0.0177314814814814)</f>
        <v>1.77314814814814E-2</v>
      </c>
      <c r="P96" s="1" t="str">
        <f ca="1">IFERROR(__xludf.DUMMYFUNCTION("""COMPUTED_VALUE""")," ")</f>
        <v xml:space="preserve"> </v>
      </c>
      <c r="Q96" s="1" t="str">
        <f ca="1">IFERROR(__xludf.DUMMYFUNCTION("""COMPUTED_VALUE""")," ")</f>
        <v xml:space="preserve"> </v>
      </c>
      <c r="R96" s="1" t="str">
        <f ca="1">IFERROR(__xludf.DUMMYFUNCTION("""COMPUTED_VALUE""")," ")</f>
        <v xml:space="preserve"> </v>
      </c>
      <c r="S96" s="1" t="str">
        <f ca="1">IFERROR(__xludf.DUMMYFUNCTION("""COMPUTED_VALUE""")," ")</f>
        <v xml:space="preserve"> </v>
      </c>
      <c r="T96" s="1" t="str">
        <f ca="1">IFERROR(__xludf.DUMMYFUNCTION("""COMPUTED_VALUE""")," ")</f>
        <v xml:space="preserve"> </v>
      </c>
      <c r="U96" s="1">
        <f ca="1">IFERROR(__xludf.DUMMYFUNCTION("""COMPUTED_VALUE"""),94)</f>
        <v>94</v>
      </c>
      <c r="V96" s="1" t="str">
        <f ca="1">IFERROR(__xludf.DUMMYFUNCTION("""COMPUTED_VALUE"""),"Simon Cordoba")</f>
        <v>Simon Cordoba</v>
      </c>
      <c r="W96" s="1" t="str">
        <f ca="1">IFERROR(__xludf.DUMMYFUNCTION("""COMPUTED_VALUE"""),"MO")</f>
        <v>MO</v>
      </c>
      <c r="X96" s="1" t="str">
        <f ca="1">IFERROR(__xludf.DUMMYFUNCTION("""COMPUTED_VALUE"""),"Orangegrove AC")</f>
        <v>Orangegrove AC</v>
      </c>
      <c r="Y96" s="3">
        <f ca="1">IFERROR(__xludf.DUMMYFUNCTION("""COMPUTED_VALUE"""),0.0204398148148148)</f>
        <v>2.04398148148148E-2</v>
      </c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 t="str">
        <f ca="1">IFERROR(__xludf.DUMMYFUNCTION("""COMPUTED_VALUE""")," ")</f>
        <v xml:space="preserve"> </v>
      </c>
      <c r="BI96" s="1" t="str">
        <f ca="1">IFERROR(__xludf.DUMMYFUNCTION("""COMPUTED_VALUE""")," ")</f>
        <v xml:space="preserve"> </v>
      </c>
      <c r="BJ96" s="1" t="str">
        <f ca="1">IFERROR(__xludf.DUMMYFUNCTION("""COMPUTED_VALUE""")," ")</f>
        <v xml:space="preserve"> </v>
      </c>
    </row>
    <row r="97" spans="1:62" x14ac:dyDescent="0.25">
      <c r="A97" s="1" t="str">
        <f ca="1">IFERROR(__xludf.DUMMYFUNCTION("""COMPUTED_VALUE""")," ")</f>
        <v xml:space="preserve"> </v>
      </c>
      <c r="B97" s="1" t="str">
        <f ca="1">IFERROR(__xludf.DUMMYFUNCTION("""COMPUTED_VALUE""")," ")</f>
        <v xml:space="preserve"> </v>
      </c>
      <c r="C97" s="1" t="str">
        <f ca="1">IFERROR(__xludf.DUMMYFUNCTION("""COMPUTED_VALUE""")," ")</f>
        <v xml:space="preserve"> </v>
      </c>
      <c r="D97" s="1" t="str">
        <f ca="1">IFERROR(__xludf.DUMMYFUNCTION("""COMPUTED_VALUE""")," ")</f>
        <v xml:space="preserve"> </v>
      </c>
      <c r="E97" s="1" t="str">
        <f ca="1">IFERROR(__xludf.DUMMYFUNCTION("""COMPUTED_VALUE""")," ")</f>
        <v xml:space="preserve"> </v>
      </c>
      <c r="F97" s="1" t="str">
        <f ca="1">IFERROR(__xludf.DUMMYFUNCTION("""COMPUTED_VALUE""")," ")</f>
        <v xml:space="preserve"> </v>
      </c>
      <c r="G97" s="1" t="str">
        <f ca="1">IFERROR(__xludf.DUMMYFUNCTION("""COMPUTED_VALUE""")," ")</f>
        <v xml:space="preserve"> </v>
      </c>
      <c r="H97" s="1" t="str">
        <f ca="1">IFERROR(__xludf.DUMMYFUNCTION("""COMPUTED_VALUE""")," ")</f>
        <v xml:space="preserve"> </v>
      </c>
      <c r="I97" s="1" t="str">
        <f ca="1">IFERROR(__xludf.DUMMYFUNCTION("""COMPUTED_VALUE""")," ")</f>
        <v xml:space="preserve"> </v>
      </c>
      <c r="J97" s="1" t="str">
        <f ca="1">IFERROR(__xludf.DUMMYFUNCTION("""COMPUTED_VALUE""")," ")</f>
        <v xml:space="preserve"> </v>
      </c>
      <c r="K97" s="1">
        <f ca="1">IFERROR(__xludf.DUMMYFUNCTION("""COMPUTED_VALUE"""),95)</f>
        <v>95</v>
      </c>
      <c r="L97" s="1" t="str">
        <f ca="1">IFERROR(__xludf.DUMMYFUNCTION("""COMPUTED_VALUE"""),"Anne McClurg")</f>
        <v>Anne McClurg</v>
      </c>
      <c r="M97" s="1" t="str">
        <f ca="1">IFERROR(__xludf.DUMMYFUNCTION("""COMPUTED_VALUE"""),"F50")</f>
        <v>F50</v>
      </c>
      <c r="N97" s="1" t="str">
        <f ca="1">IFERROR(__xludf.DUMMYFUNCTION("""COMPUTED_VALUE"""),"Ballydrain Harriers")</f>
        <v>Ballydrain Harriers</v>
      </c>
      <c r="O97" s="3">
        <f ca="1">IFERROR(__xludf.DUMMYFUNCTION("""COMPUTED_VALUE"""),0.0177662037037037)</f>
        <v>1.7766203703703701E-2</v>
      </c>
      <c r="P97" s="1" t="str">
        <f ca="1">IFERROR(__xludf.DUMMYFUNCTION("""COMPUTED_VALUE""")," ")</f>
        <v xml:space="preserve"> </v>
      </c>
      <c r="Q97" s="1" t="str">
        <f ca="1">IFERROR(__xludf.DUMMYFUNCTION("""COMPUTED_VALUE""")," ")</f>
        <v xml:space="preserve"> </v>
      </c>
      <c r="R97" s="1" t="str">
        <f ca="1">IFERROR(__xludf.DUMMYFUNCTION("""COMPUTED_VALUE""")," ")</f>
        <v xml:space="preserve"> </v>
      </c>
      <c r="S97" s="1" t="str">
        <f ca="1">IFERROR(__xludf.DUMMYFUNCTION("""COMPUTED_VALUE""")," ")</f>
        <v xml:space="preserve"> </v>
      </c>
      <c r="T97" s="1" t="str">
        <f ca="1">IFERROR(__xludf.DUMMYFUNCTION("""COMPUTED_VALUE""")," ")</f>
        <v xml:space="preserve"> </v>
      </c>
      <c r="U97" s="1">
        <f ca="1">IFERROR(__xludf.DUMMYFUNCTION("""COMPUTED_VALUE"""),95)</f>
        <v>95</v>
      </c>
      <c r="V97" s="1" t="str">
        <f ca="1">IFERROR(__xludf.DUMMYFUNCTION("""COMPUTED_VALUE"""),"Michael O'Donoghue")</f>
        <v>Michael O'Donoghue</v>
      </c>
      <c r="W97" s="1" t="str">
        <f ca="1">IFERROR(__xludf.DUMMYFUNCTION("""COMPUTED_VALUE"""),"M45")</f>
        <v>M45</v>
      </c>
      <c r="X97" s="1" t="str">
        <f ca="1">IFERROR(__xludf.DUMMYFUNCTION("""COMPUTED_VALUE"""),"Orangegrove AC")</f>
        <v>Orangegrove AC</v>
      </c>
      <c r="Y97" s="3">
        <f ca="1">IFERROR(__xludf.DUMMYFUNCTION("""COMPUTED_VALUE"""),0.020474537037037)</f>
        <v>2.0474537037036999E-2</v>
      </c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 t="str">
        <f ca="1">IFERROR(__xludf.DUMMYFUNCTION("""COMPUTED_VALUE""")," ")</f>
        <v xml:space="preserve"> </v>
      </c>
      <c r="BI97" s="1" t="str">
        <f ca="1">IFERROR(__xludf.DUMMYFUNCTION("""COMPUTED_VALUE""")," ")</f>
        <v xml:space="preserve"> </v>
      </c>
      <c r="BJ97" s="1" t="str">
        <f ca="1">IFERROR(__xludf.DUMMYFUNCTION("""COMPUTED_VALUE""")," ")</f>
        <v xml:space="preserve"> </v>
      </c>
    </row>
    <row r="98" spans="1:62" x14ac:dyDescent="0.25">
      <c r="A98" s="1" t="str">
        <f ca="1">IFERROR(__xludf.DUMMYFUNCTION("""COMPUTED_VALUE""")," ")</f>
        <v xml:space="preserve"> </v>
      </c>
      <c r="B98" s="1" t="str">
        <f ca="1">IFERROR(__xludf.DUMMYFUNCTION("""COMPUTED_VALUE""")," ")</f>
        <v xml:space="preserve"> </v>
      </c>
      <c r="C98" s="1" t="str">
        <f ca="1">IFERROR(__xludf.DUMMYFUNCTION("""COMPUTED_VALUE""")," ")</f>
        <v xml:space="preserve"> </v>
      </c>
      <c r="D98" s="1" t="str">
        <f ca="1">IFERROR(__xludf.DUMMYFUNCTION("""COMPUTED_VALUE""")," ")</f>
        <v xml:space="preserve"> </v>
      </c>
      <c r="E98" s="1" t="str">
        <f ca="1">IFERROR(__xludf.DUMMYFUNCTION("""COMPUTED_VALUE""")," ")</f>
        <v xml:space="preserve"> </v>
      </c>
      <c r="F98" s="1" t="str">
        <f ca="1">IFERROR(__xludf.DUMMYFUNCTION("""COMPUTED_VALUE""")," ")</f>
        <v xml:space="preserve"> </v>
      </c>
      <c r="G98" s="1" t="str">
        <f ca="1">IFERROR(__xludf.DUMMYFUNCTION("""COMPUTED_VALUE""")," ")</f>
        <v xml:space="preserve"> </v>
      </c>
      <c r="H98" s="1" t="str">
        <f ca="1">IFERROR(__xludf.DUMMYFUNCTION("""COMPUTED_VALUE""")," ")</f>
        <v xml:space="preserve"> </v>
      </c>
      <c r="I98" s="1" t="str">
        <f ca="1">IFERROR(__xludf.DUMMYFUNCTION("""COMPUTED_VALUE""")," ")</f>
        <v xml:space="preserve"> </v>
      </c>
      <c r="J98" s="1" t="str">
        <f ca="1">IFERROR(__xludf.DUMMYFUNCTION("""COMPUTED_VALUE""")," ")</f>
        <v xml:space="preserve"> </v>
      </c>
      <c r="K98" s="1">
        <f ca="1">IFERROR(__xludf.DUMMYFUNCTION("""COMPUTED_VALUE"""),96)</f>
        <v>96</v>
      </c>
      <c r="L98" s="1" t="str">
        <f ca="1">IFERROR(__xludf.DUMMYFUNCTION("""COMPUTED_VALUE"""),"Andrea Mockford")</f>
        <v>Andrea Mockford</v>
      </c>
      <c r="M98" s="1" t="str">
        <f ca="1">IFERROR(__xludf.DUMMYFUNCTION("""COMPUTED_VALUE"""),"F40")</f>
        <v>F40</v>
      </c>
      <c r="N98" s="1" t="str">
        <f ca="1">IFERROR(__xludf.DUMMYFUNCTION("""COMPUTED_VALUE"""),"Ballydrain Harriers")</f>
        <v>Ballydrain Harriers</v>
      </c>
      <c r="O98" s="3">
        <f ca="1">IFERROR(__xludf.DUMMYFUNCTION("""COMPUTED_VALUE"""),0.0177777777777777)</f>
        <v>1.7777777777777701E-2</v>
      </c>
      <c r="P98" s="1" t="str">
        <f ca="1">IFERROR(__xludf.DUMMYFUNCTION("""COMPUTED_VALUE""")," ")</f>
        <v xml:space="preserve"> </v>
      </c>
      <c r="Q98" s="1" t="str">
        <f ca="1">IFERROR(__xludf.DUMMYFUNCTION("""COMPUTED_VALUE""")," ")</f>
        <v xml:space="preserve"> </v>
      </c>
      <c r="R98" s="1" t="str">
        <f ca="1">IFERROR(__xludf.DUMMYFUNCTION("""COMPUTED_VALUE""")," ")</f>
        <v xml:space="preserve"> </v>
      </c>
      <c r="S98" s="1" t="str">
        <f ca="1">IFERROR(__xludf.DUMMYFUNCTION("""COMPUTED_VALUE""")," ")</f>
        <v xml:space="preserve"> </v>
      </c>
      <c r="T98" s="1" t="str">
        <f ca="1">IFERROR(__xludf.DUMMYFUNCTION("""COMPUTED_VALUE""")," ")</f>
        <v xml:space="preserve"> </v>
      </c>
      <c r="U98" s="1">
        <f ca="1">IFERROR(__xludf.DUMMYFUNCTION("""COMPUTED_VALUE"""),96)</f>
        <v>96</v>
      </c>
      <c r="V98" s="1" t="str">
        <f ca="1">IFERROR(__xludf.DUMMYFUNCTION("""COMPUTED_VALUE"""),"Ryan Nugent")</f>
        <v>Ryan Nugent</v>
      </c>
      <c r="W98" s="1" t="str">
        <f ca="1">IFERROR(__xludf.DUMMYFUNCTION("""COMPUTED_VALUE"""),"M45")</f>
        <v>M45</v>
      </c>
      <c r="X98" s="1" t="str">
        <f ca="1">IFERROR(__xludf.DUMMYFUNCTION("""COMPUTED_VALUE"""),"Willowfield Harriers")</f>
        <v>Willowfield Harriers</v>
      </c>
      <c r="Y98" s="3">
        <f ca="1">IFERROR(__xludf.DUMMYFUNCTION("""COMPUTED_VALUE"""),0.0205324074074074)</f>
        <v>2.0532407407407399E-2</v>
      </c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 t="str">
        <f ca="1">IFERROR(__xludf.DUMMYFUNCTION("""COMPUTED_VALUE""")," ")</f>
        <v xml:space="preserve"> </v>
      </c>
      <c r="BI98" s="1" t="str">
        <f ca="1">IFERROR(__xludf.DUMMYFUNCTION("""COMPUTED_VALUE""")," ")</f>
        <v xml:space="preserve"> </v>
      </c>
      <c r="BJ98" s="1" t="str">
        <f ca="1">IFERROR(__xludf.DUMMYFUNCTION("""COMPUTED_VALUE""")," ")</f>
        <v xml:space="preserve"> </v>
      </c>
    </row>
    <row r="99" spans="1:62" x14ac:dyDescent="0.25">
      <c r="A99" s="1" t="str">
        <f ca="1">IFERROR(__xludf.DUMMYFUNCTION("""COMPUTED_VALUE""")," ")</f>
        <v xml:space="preserve"> </v>
      </c>
      <c r="B99" s="1" t="str">
        <f ca="1">IFERROR(__xludf.DUMMYFUNCTION("""COMPUTED_VALUE""")," ")</f>
        <v xml:space="preserve"> </v>
      </c>
      <c r="C99" s="1" t="str">
        <f ca="1">IFERROR(__xludf.DUMMYFUNCTION("""COMPUTED_VALUE""")," ")</f>
        <v xml:space="preserve"> </v>
      </c>
      <c r="D99" s="1" t="str">
        <f ca="1">IFERROR(__xludf.DUMMYFUNCTION("""COMPUTED_VALUE""")," ")</f>
        <v xml:space="preserve"> </v>
      </c>
      <c r="E99" s="1" t="str">
        <f ca="1">IFERROR(__xludf.DUMMYFUNCTION("""COMPUTED_VALUE""")," ")</f>
        <v xml:space="preserve"> </v>
      </c>
      <c r="F99" s="1" t="str">
        <f ca="1">IFERROR(__xludf.DUMMYFUNCTION("""COMPUTED_VALUE""")," ")</f>
        <v xml:space="preserve"> </v>
      </c>
      <c r="G99" s="1" t="str">
        <f ca="1">IFERROR(__xludf.DUMMYFUNCTION("""COMPUTED_VALUE""")," ")</f>
        <v xml:space="preserve"> </v>
      </c>
      <c r="H99" s="1" t="str">
        <f ca="1">IFERROR(__xludf.DUMMYFUNCTION("""COMPUTED_VALUE""")," ")</f>
        <v xml:space="preserve"> </v>
      </c>
      <c r="I99" s="1" t="str">
        <f ca="1">IFERROR(__xludf.DUMMYFUNCTION("""COMPUTED_VALUE""")," ")</f>
        <v xml:space="preserve"> </v>
      </c>
      <c r="J99" s="1" t="str">
        <f ca="1">IFERROR(__xludf.DUMMYFUNCTION("""COMPUTED_VALUE""")," ")</f>
        <v xml:space="preserve"> </v>
      </c>
      <c r="K99" s="1">
        <f ca="1">IFERROR(__xludf.DUMMYFUNCTION("""COMPUTED_VALUE"""),97)</f>
        <v>97</v>
      </c>
      <c r="L99" s="1" t="str">
        <f ca="1">IFERROR(__xludf.DUMMYFUNCTION("""COMPUTED_VALUE"""),"Helen Baird")</f>
        <v>Helen Baird</v>
      </c>
      <c r="M99" s="1" t="str">
        <f ca="1">IFERROR(__xludf.DUMMYFUNCTION("""COMPUTED_VALUE"""),"F50")</f>
        <v>F50</v>
      </c>
      <c r="N99" s="1" t="str">
        <f ca="1">IFERROR(__xludf.DUMMYFUNCTION("""COMPUTED_VALUE"""),"County Antrim Harriers")</f>
        <v>County Antrim Harriers</v>
      </c>
      <c r="O99" s="3">
        <f ca="1">IFERROR(__xludf.DUMMYFUNCTION("""COMPUTED_VALUE"""),0.0178935185185185)</f>
        <v>1.78935185185185E-2</v>
      </c>
      <c r="P99" s="1" t="str">
        <f ca="1">IFERROR(__xludf.DUMMYFUNCTION("""COMPUTED_VALUE""")," ")</f>
        <v xml:space="preserve"> </v>
      </c>
      <c r="Q99" s="1" t="str">
        <f ca="1">IFERROR(__xludf.DUMMYFUNCTION("""COMPUTED_VALUE""")," ")</f>
        <v xml:space="preserve"> </v>
      </c>
      <c r="R99" s="1" t="str">
        <f ca="1">IFERROR(__xludf.DUMMYFUNCTION("""COMPUTED_VALUE""")," ")</f>
        <v xml:space="preserve"> </v>
      </c>
      <c r="S99" s="1" t="str">
        <f ca="1">IFERROR(__xludf.DUMMYFUNCTION("""COMPUTED_VALUE""")," ")</f>
        <v xml:space="preserve"> </v>
      </c>
      <c r="T99" s="1" t="str">
        <f ca="1">IFERROR(__xludf.DUMMYFUNCTION("""COMPUTED_VALUE""")," ")</f>
        <v xml:space="preserve"> </v>
      </c>
      <c r="U99" s="1">
        <f ca="1">IFERROR(__xludf.DUMMYFUNCTION("""COMPUTED_VALUE"""),97)</f>
        <v>97</v>
      </c>
      <c r="V99" s="1" t="str">
        <f ca="1">IFERROR(__xludf.DUMMYFUNCTION("""COMPUTED_VALUE"""),"Robert Beattie")</f>
        <v>Robert Beattie</v>
      </c>
      <c r="W99" s="1" t="str">
        <f ca="1">IFERROR(__xludf.DUMMYFUNCTION("""COMPUTED_VALUE"""),"M50")</f>
        <v>M50</v>
      </c>
      <c r="X99" s="1" t="str">
        <f ca="1">IFERROR(__xludf.DUMMYFUNCTION("""COMPUTED_VALUE"""),"Ballydrain Harriers")</f>
        <v>Ballydrain Harriers</v>
      </c>
      <c r="Y99" s="3">
        <f ca="1">IFERROR(__xludf.DUMMYFUNCTION("""COMPUTED_VALUE"""),0.0205902777777777)</f>
        <v>2.05902777777777E-2</v>
      </c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 t="str">
        <f ca="1">IFERROR(__xludf.DUMMYFUNCTION("""COMPUTED_VALUE""")," ")</f>
        <v xml:space="preserve"> </v>
      </c>
      <c r="BI99" s="1" t="str">
        <f ca="1">IFERROR(__xludf.DUMMYFUNCTION("""COMPUTED_VALUE""")," ")</f>
        <v xml:space="preserve"> </v>
      </c>
      <c r="BJ99" s="1" t="str">
        <f ca="1">IFERROR(__xludf.DUMMYFUNCTION("""COMPUTED_VALUE""")," ")</f>
        <v xml:space="preserve"> </v>
      </c>
    </row>
    <row r="100" spans="1:62" x14ac:dyDescent="0.25">
      <c r="A100" s="1" t="str">
        <f ca="1">IFERROR(__xludf.DUMMYFUNCTION("""COMPUTED_VALUE""")," ")</f>
        <v xml:space="preserve"> </v>
      </c>
      <c r="B100" s="1" t="str">
        <f ca="1">IFERROR(__xludf.DUMMYFUNCTION("""COMPUTED_VALUE""")," ")</f>
        <v xml:space="preserve"> </v>
      </c>
      <c r="C100" s="1" t="str">
        <f ca="1">IFERROR(__xludf.DUMMYFUNCTION("""COMPUTED_VALUE""")," ")</f>
        <v xml:space="preserve"> </v>
      </c>
      <c r="D100" s="1" t="str">
        <f ca="1">IFERROR(__xludf.DUMMYFUNCTION("""COMPUTED_VALUE""")," ")</f>
        <v xml:space="preserve"> </v>
      </c>
      <c r="E100" s="1" t="str">
        <f ca="1">IFERROR(__xludf.DUMMYFUNCTION("""COMPUTED_VALUE""")," ")</f>
        <v xml:space="preserve"> </v>
      </c>
      <c r="F100" s="1" t="str">
        <f ca="1">IFERROR(__xludf.DUMMYFUNCTION("""COMPUTED_VALUE""")," ")</f>
        <v xml:space="preserve"> </v>
      </c>
      <c r="G100" s="1" t="str">
        <f ca="1">IFERROR(__xludf.DUMMYFUNCTION("""COMPUTED_VALUE""")," ")</f>
        <v xml:space="preserve"> </v>
      </c>
      <c r="H100" s="1" t="str">
        <f ca="1">IFERROR(__xludf.DUMMYFUNCTION("""COMPUTED_VALUE""")," ")</f>
        <v xml:space="preserve"> </v>
      </c>
      <c r="I100" s="1" t="str">
        <f ca="1">IFERROR(__xludf.DUMMYFUNCTION("""COMPUTED_VALUE""")," ")</f>
        <v xml:space="preserve"> </v>
      </c>
      <c r="J100" s="1" t="str">
        <f ca="1">IFERROR(__xludf.DUMMYFUNCTION("""COMPUTED_VALUE""")," ")</f>
        <v xml:space="preserve"> </v>
      </c>
      <c r="K100" s="1">
        <f ca="1">IFERROR(__xludf.DUMMYFUNCTION("""COMPUTED_VALUE"""),98)</f>
        <v>98</v>
      </c>
      <c r="L100" s="1" t="str">
        <f ca="1">IFERROR(__xludf.DUMMYFUNCTION("""COMPUTED_VALUE"""),"Joanne Curran")</f>
        <v>Joanne Curran</v>
      </c>
      <c r="M100" s="1" t="str">
        <f ca="1">IFERROR(__xludf.DUMMYFUNCTION("""COMPUTED_VALUE"""),"F45")</f>
        <v>F45</v>
      </c>
      <c r="N100" s="1" t="str">
        <f ca="1">IFERROR(__xludf.DUMMYFUNCTION("""COMPUTED_VALUE"""),"North Belfast Harriers")</f>
        <v>North Belfast Harriers</v>
      </c>
      <c r="O100" s="3">
        <f ca="1">IFERROR(__xludf.DUMMYFUNCTION("""COMPUTED_VALUE"""),0.0178935185185185)</f>
        <v>1.78935185185185E-2</v>
      </c>
      <c r="P100" s="1" t="str">
        <f ca="1">IFERROR(__xludf.DUMMYFUNCTION("""COMPUTED_VALUE""")," ")</f>
        <v xml:space="preserve"> </v>
      </c>
      <c r="Q100" s="1" t="str">
        <f ca="1">IFERROR(__xludf.DUMMYFUNCTION("""COMPUTED_VALUE""")," ")</f>
        <v xml:space="preserve"> </v>
      </c>
      <c r="R100" s="1" t="str">
        <f ca="1">IFERROR(__xludf.DUMMYFUNCTION("""COMPUTED_VALUE""")," ")</f>
        <v xml:space="preserve"> </v>
      </c>
      <c r="S100" s="1" t="str">
        <f ca="1">IFERROR(__xludf.DUMMYFUNCTION("""COMPUTED_VALUE""")," ")</f>
        <v xml:space="preserve"> </v>
      </c>
      <c r="T100" s="1" t="str">
        <f ca="1">IFERROR(__xludf.DUMMYFUNCTION("""COMPUTED_VALUE""")," ")</f>
        <v xml:space="preserve"> </v>
      </c>
      <c r="U100" s="1">
        <f ca="1">IFERROR(__xludf.DUMMYFUNCTION("""COMPUTED_VALUE"""),98)</f>
        <v>98</v>
      </c>
      <c r="V100" s="1" t="str">
        <f ca="1">IFERROR(__xludf.DUMMYFUNCTION("""COMPUTED_VALUE"""),"Jonny Kinney")</f>
        <v>Jonny Kinney</v>
      </c>
      <c r="W100" s="1" t="str">
        <f ca="1">IFERROR(__xludf.DUMMYFUNCTION("""COMPUTED_VALUE"""),"M50")</f>
        <v>M50</v>
      </c>
      <c r="X100" s="1" t="str">
        <f ca="1">IFERROR(__xludf.DUMMYFUNCTION("""COMPUTED_VALUE"""),"Scrabo Striders")</f>
        <v>Scrabo Striders</v>
      </c>
      <c r="Y100" s="3">
        <f ca="1">IFERROR(__xludf.DUMMYFUNCTION("""COMPUTED_VALUE"""),0.0207638888888888)</f>
        <v>2.0763888888888801E-2</v>
      </c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 t="str">
        <f ca="1">IFERROR(__xludf.DUMMYFUNCTION("""COMPUTED_VALUE""")," ")</f>
        <v xml:space="preserve"> </v>
      </c>
      <c r="BI100" s="1" t="str">
        <f ca="1">IFERROR(__xludf.DUMMYFUNCTION("""COMPUTED_VALUE""")," ")</f>
        <v xml:space="preserve"> </v>
      </c>
      <c r="BJ100" s="1" t="str">
        <f ca="1">IFERROR(__xludf.DUMMYFUNCTION("""COMPUTED_VALUE""")," ")</f>
        <v xml:space="preserve"> </v>
      </c>
    </row>
    <row r="101" spans="1:62" x14ac:dyDescent="0.25">
      <c r="A101" s="1" t="str">
        <f ca="1">IFERROR(__xludf.DUMMYFUNCTION("""COMPUTED_VALUE""")," ")</f>
        <v xml:space="preserve"> </v>
      </c>
      <c r="B101" s="1" t="str">
        <f ca="1">IFERROR(__xludf.DUMMYFUNCTION("""COMPUTED_VALUE""")," ")</f>
        <v xml:space="preserve"> </v>
      </c>
      <c r="C101" s="1" t="str">
        <f ca="1">IFERROR(__xludf.DUMMYFUNCTION("""COMPUTED_VALUE""")," ")</f>
        <v xml:space="preserve"> </v>
      </c>
      <c r="D101" s="1" t="str">
        <f ca="1">IFERROR(__xludf.DUMMYFUNCTION("""COMPUTED_VALUE""")," ")</f>
        <v xml:space="preserve"> </v>
      </c>
      <c r="E101" s="1" t="str">
        <f ca="1">IFERROR(__xludf.DUMMYFUNCTION("""COMPUTED_VALUE""")," ")</f>
        <v xml:space="preserve"> </v>
      </c>
      <c r="F101" s="1" t="str">
        <f ca="1">IFERROR(__xludf.DUMMYFUNCTION("""COMPUTED_VALUE""")," ")</f>
        <v xml:space="preserve"> </v>
      </c>
      <c r="G101" s="1" t="str">
        <f ca="1">IFERROR(__xludf.DUMMYFUNCTION("""COMPUTED_VALUE""")," ")</f>
        <v xml:space="preserve"> </v>
      </c>
      <c r="H101" s="1" t="str">
        <f ca="1">IFERROR(__xludf.DUMMYFUNCTION("""COMPUTED_VALUE""")," ")</f>
        <v xml:space="preserve"> </v>
      </c>
      <c r="I101" s="1" t="str">
        <f ca="1">IFERROR(__xludf.DUMMYFUNCTION("""COMPUTED_VALUE""")," ")</f>
        <v xml:space="preserve"> </v>
      </c>
      <c r="J101" s="1" t="str">
        <f ca="1">IFERROR(__xludf.DUMMYFUNCTION("""COMPUTED_VALUE""")," ")</f>
        <v xml:space="preserve"> </v>
      </c>
      <c r="K101" s="1">
        <f ca="1">IFERROR(__xludf.DUMMYFUNCTION("""COMPUTED_VALUE"""),99)</f>
        <v>99</v>
      </c>
      <c r="L101" s="1" t="str">
        <f ca="1">IFERROR(__xludf.DUMMYFUNCTION("""COMPUTED_VALUE"""),"Verity Cornford")</f>
        <v>Verity Cornford</v>
      </c>
      <c r="M101" s="1" t="str">
        <f ca="1">IFERROR(__xludf.DUMMYFUNCTION("""COMPUTED_VALUE"""),"F40")</f>
        <v>F40</v>
      </c>
      <c r="N101" s="1" t="str">
        <f ca="1">IFERROR(__xludf.DUMMYFUNCTION("""COMPUTED_VALUE"""),"Orangegrove AC")</f>
        <v>Orangegrove AC</v>
      </c>
      <c r="O101" s="3">
        <f ca="1">IFERROR(__xludf.DUMMYFUNCTION("""COMPUTED_VALUE"""),0.0178935185185185)</f>
        <v>1.78935185185185E-2</v>
      </c>
      <c r="P101" s="1" t="str">
        <f ca="1">IFERROR(__xludf.DUMMYFUNCTION("""COMPUTED_VALUE""")," ")</f>
        <v xml:space="preserve"> </v>
      </c>
      <c r="Q101" s="1" t="str">
        <f ca="1">IFERROR(__xludf.DUMMYFUNCTION("""COMPUTED_VALUE""")," ")</f>
        <v xml:space="preserve"> </v>
      </c>
      <c r="R101" s="1" t="str">
        <f ca="1">IFERROR(__xludf.DUMMYFUNCTION("""COMPUTED_VALUE""")," ")</f>
        <v xml:space="preserve"> </v>
      </c>
      <c r="S101" s="1" t="str">
        <f ca="1">IFERROR(__xludf.DUMMYFUNCTION("""COMPUTED_VALUE""")," ")</f>
        <v xml:space="preserve"> </v>
      </c>
      <c r="T101" s="1" t="str">
        <f ca="1">IFERROR(__xludf.DUMMYFUNCTION("""COMPUTED_VALUE""")," ")</f>
        <v xml:space="preserve"> </v>
      </c>
      <c r="U101" s="1">
        <f ca="1">IFERROR(__xludf.DUMMYFUNCTION("""COMPUTED_VALUE"""),99)</f>
        <v>99</v>
      </c>
      <c r="V101" s="1" t="str">
        <f ca="1">IFERROR(__xludf.DUMMYFUNCTION("""COMPUTED_VALUE"""),"Gary Arbuthnot")</f>
        <v>Gary Arbuthnot</v>
      </c>
      <c r="W101" s="1" t="str">
        <f ca="1">IFERROR(__xludf.DUMMYFUNCTION("""COMPUTED_VALUE"""),"M50")</f>
        <v>M50</v>
      </c>
      <c r="X101" s="1" t="str">
        <f ca="1">IFERROR(__xludf.DUMMYFUNCTION("""COMPUTED_VALUE"""),"Willowfield Harriers")</f>
        <v>Willowfield Harriers</v>
      </c>
      <c r="Y101" s="3">
        <f ca="1">IFERROR(__xludf.DUMMYFUNCTION("""COMPUTED_VALUE"""),0.0209143518518518)</f>
        <v>2.0914351851851799E-2</v>
      </c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 t="str">
        <f ca="1">IFERROR(__xludf.DUMMYFUNCTION("""COMPUTED_VALUE""")," ")</f>
        <v xml:space="preserve"> </v>
      </c>
      <c r="BI101" s="1" t="str">
        <f ca="1">IFERROR(__xludf.DUMMYFUNCTION("""COMPUTED_VALUE""")," ")</f>
        <v xml:space="preserve"> </v>
      </c>
      <c r="BJ101" s="1" t="str">
        <f ca="1">IFERROR(__xludf.DUMMYFUNCTION("""COMPUTED_VALUE""")," ")</f>
        <v xml:space="preserve"> </v>
      </c>
    </row>
    <row r="102" spans="1:62" x14ac:dyDescent="0.25">
      <c r="A102" s="1" t="str">
        <f ca="1">IFERROR(__xludf.DUMMYFUNCTION("""COMPUTED_VALUE""")," ")</f>
        <v xml:space="preserve"> </v>
      </c>
      <c r="B102" s="1" t="str">
        <f ca="1">IFERROR(__xludf.DUMMYFUNCTION("""COMPUTED_VALUE""")," ")</f>
        <v xml:space="preserve"> </v>
      </c>
      <c r="C102" s="1" t="str">
        <f ca="1">IFERROR(__xludf.DUMMYFUNCTION("""COMPUTED_VALUE""")," ")</f>
        <v xml:space="preserve"> </v>
      </c>
      <c r="D102" s="1" t="str">
        <f ca="1">IFERROR(__xludf.DUMMYFUNCTION("""COMPUTED_VALUE""")," ")</f>
        <v xml:space="preserve"> </v>
      </c>
      <c r="E102" s="1" t="str">
        <f ca="1">IFERROR(__xludf.DUMMYFUNCTION("""COMPUTED_VALUE""")," ")</f>
        <v xml:space="preserve"> </v>
      </c>
      <c r="F102" s="1" t="str">
        <f ca="1">IFERROR(__xludf.DUMMYFUNCTION("""COMPUTED_VALUE""")," ")</f>
        <v xml:space="preserve"> </v>
      </c>
      <c r="G102" s="1" t="str">
        <f ca="1">IFERROR(__xludf.DUMMYFUNCTION("""COMPUTED_VALUE""")," ")</f>
        <v xml:space="preserve"> </v>
      </c>
      <c r="H102" s="1" t="str">
        <f ca="1">IFERROR(__xludf.DUMMYFUNCTION("""COMPUTED_VALUE""")," ")</f>
        <v xml:space="preserve"> </v>
      </c>
      <c r="I102" s="1" t="str">
        <f ca="1">IFERROR(__xludf.DUMMYFUNCTION("""COMPUTED_VALUE""")," ")</f>
        <v xml:space="preserve"> </v>
      </c>
      <c r="J102" s="1" t="str">
        <f ca="1">IFERROR(__xludf.DUMMYFUNCTION("""COMPUTED_VALUE""")," ")</f>
        <v xml:space="preserve"> </v>
      </c>
      <c r="K102" s="1">
        <f ca="1">IFERROR(__xludf.DUMMYFUNCTION("""COMPUTED_VALUE"""),100)</f>
        <v>100</v>
      </c>
      <c r="L102" s="1" t="str">
        <f ca="1">IFERROR(__xludf.DUMMYFUNCTION("""COMPUTED_VALUE"""),"Alison Symington")</f>
        <v>Alison Symington</v>
      </c>
      <c r="M102" s="1" t="str">
        <f ca="1">IFERROR(__xludf.DUMMYFUNCTION("""COMPUTED_VALUE"""),"F50")</f>
        <v>F50</v>
      </c>
      <c r="N102" s="1" t="str">
        <f ca="1">IFERROR(__xludf.DUMMYFUNCTION("""COMPUTED_VALUE"""),"Dromore AC")</f>
        <v>Dromore AC</v>
      </c>
      <c r="O102" s="3">
        <f ca="1">IFERROR(__xludf.DUMMYFUNCTION("""COMPUTED_VALUE"""),0.017974537037037)</f>
        <v>1.7974537037037001E-2</v>
      </c>
      <c r="P102" s="1" t="str">
        <f ca="1">IFERROR(__xludf.DUMMYFUNCTION("""COMPUTED_VALUE""")," ")</f>
        <v xml:space="preserve"> </v>
      </c>
      <c r="Q102" s="1" t="str">
        <f ca="1">IFERROR(__xludf.DUMMYFUNCTION("""COMPUTED_VALUE""")," ")</f>
        <v xml:space="preserve"> </v>
      </c>
      <c r="R102" s="1" t="str">
        <f ca="1">IFERROR(__xludf.DUMMYFUNCTION("""COMPUTED_VALUE""")," ")</f>
        <v xml:space="preserve"> </v>
      </c>
      <c r="S102" s="1" t="str">
        <f ca="1">IFERROR(__xludf.DUMMYFUNCTION("""COMPUTED_VALUE""")," ")</f>
        <v xml:space="preserve"> </v>
      </c>
      <c r="T102" s="1" t="str">
        <f ca="1">IFERROR(__xludf.DUMMYFUNCTION("""COMPUTED_VALUE""")," ")</f>
        <v xml:space="preserve"> </v>
      </c>
      <c r="U102" s="1">
        <f ca="1">IFERROR(__xludf.DUMMYFUNCTION("""COMPUTED_VALUE"""),100)</f>
        <v>100</v>
      </c>
      <c r="V102" s="1" t="str">
        <f ca="1">IFERROR(__xludf.DUMMYFUNCTION("""COMPUTED_VALUE"""),"Kevin Hawkins")</f>
        <v>Kevin Hawkins</v>
      </c>
      <c r="W102" s="1" t="str">
        <f ca="1">IFERROR(__xludf.DUMMYFUNCTION("""COMPUTED_VALUE"""),"M35")</f>
        <v>M35</v>
      </c>
      <c r="X102" s="1" t="str">
        <f ca="1">IFERROR(__xludf.DUMMYFUNCTION("""COMPUTED_VALUE"""),"peninsula triathlon club")</f>
        <v>peninsula triathlon club</v>
      </c>
      <c r="Y102" s="3">
        <f ca="1">IFERROR(__xludf.DUMMYFUNCTION("""COMPUTED_VALUE"""),0.0210300925925925)</f>
        <v>2.10300925925925E-2</v>
      </c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 t="str">
        <f ca="1">IFERROR(__xludf.DUMMYFUNCTION("""COMPUTED_VALUE""")," ")</f>
        <v xml:space="preserve"> </v>
      </c>
      <c r="BI102" s="1" t="str">
        <f ca="1">IFERROR(__xludf.DUMMYFUNCTION("""COMPUTED_VALUE""")," ")</f>
        <v xml:space="preserve"> </v>
      </c>
      <c r="BJ102" s="1" t="str">
        <f ca="1">IFERROR(__xludf.DUMMYFUNCTION("""COMPUTED_VALUE""")," ")</f>
        <v xml:space="preserve"> </v>
      </c>
    </row>
    <row r="103" spans="1:62" x14ac:dyDescent="0.25">
      <c r="A103" s="1" t="str">
        <f ca="1">IFERROR(__xludf.DUMMYFUNCTION("""COMPUTED_VALUE""")," ")</f>
        <v xml:space="preserve"> </v>
      </c>
      <c r="B103" s="1" t="str">
        <f ca="1">IFERROR(__xludf.DUMMYFUNCTION("""COMPUTED_VALUE""")," ")</f>
        <v xml:space="preserve"> </v>
      </c>
      <c r="C103" s="1" t="str">
        <f ca="1">IFERROR(__xludf.DUMMYFUNCTION("""COMPUTED_VALUE""")," ")</f>
        <v xml:space="preserve"> </v>
      </c>
      <c r="D103" s="1" t="str">
        <f ca="1">IFERROR(__xludf.DUMMYFUNCTION("""COMPUTED_VALUE""")," ")</f>
        <v xml:space="preserve"> </v>
      </c>
      <c r="E103" s="1" t="str">
        <f ca="1">IFERROR(__xludf.DUMMYFUNCTION("""COMPUTED_VALUE""")," ")</f>
        <v xml:space="preserve"> </v>
      </c>
      <c r="F103" s="1" t="str">
        <f ca="1">IFERROR(__xludf.DUMMYFUNCTION("""COMPUTED_VALUE""")," ")</f>
        <v xml:space="preserve"> </v>
      </c>
      <c r="G103" s="1" t="str">
        <f ca="1">IFERROR(__xludf.DUMMYFUNCTION("""COMPUTED_VALUE""")," ")</f>
        <v xml:space="preserve"> </v>
      </c>
      <c r="H103" s="1" t="str">
        <f ca="1">IFERROR(__xludf.DUMMYFUNCTION("""COMPUTED_VALUE""")," ")</f>
        <v xml:space="preserve"> </v>
      </c>
      <c r="I103" s="1" t="str">
        <f ca="1">IFERROR(__xludf.DUMMYFUNCTION("""COMPUTED_VALUE""")," ")</f>
        <v xml:space="preserve"> </v>
      </c>
      <c r="J103" s="1" t="str">
        <f ca="1">IFERROR(__xludf.DUMMYFUNCTION("""COMPUTED_VALUE""")," ")</f>
        <v xml:space="preserve"> </v>
      </c>
      <c r="K103" s="1">
        <f ca="1">IFERROR(__xludf.DUMMYFUNCTION("""COMPUTED_VALUE"""),101)</f>
        <v>101</v>
      </c>
      <c r="L103" s="1" t="str">
        <f ca="1">IFERROR(__xludf.DUMMYFUNCTION("""COMPUTED_VALUE"""),"Dawn Ross")</f>
        <v>Dawn Ross</v>
      </c>
      <c r="M103" s="1" t="str">
        <f ca="1">IFERROR(__xludf.DUMMYFUNCTION("""COMPUTED_VALUE"""),"F50")</f>
        <v>F50</v>
      </c>
      <c r="N103" s="1" t="str">
        <f ca="1">IFERROR(__xludf.DUMMYFUNCTION("""COMPUTED_VALUE"""),"Scrabo Striders")</f>
        <v>Scrabo Striders</v>
      </c>
      <c r="O103" s="3">
        <f ca="1">IFERROR(__xludf.DUMMYFUNCTION("""COMPUTED_VALUE"""),0.0180092592592592)</f>
        <v>1.8009259259259201E-2</v>
      </c>
      <c r="P103" s="1" t="str">
        <f ca="1">IFERROR(__xludf.DUMMYFUNCTION("""COMPUTED_VALUE""")," ")</f>
        <v xml:space="preserve"> </v>
      </c>
      <c r="Q103" s="1" t="str">
        <f ca="1">IFERROR(__xludf.DUMMYFUNCTION("""COMPUTED_VALUE""")," ")</f>
        <v xml:space="preserve"> </v>
      </c>
      <c r="R103" s="1" t="str">
        <f ca="1">IFERROR(__xludf.DUMMYFUNCTION("""COMPUTED_VALUE""")," ")</f>
        <v xml:space="preserve"> </v>
      </c>
      <c r="S103" s="1" t="str">
        <f ca="1">IFERROR(__xludf.DUMMYFUNCTION("""COMPUTED_VALUE""")," ")</f>
        <v xml:space="preserve"> </v>
      </c>
      <c r="T103" s="1" t="str">
        <f ca="1">IFERROR(__xludf.DUMMYFUNCTION("""COMPUTED_VALUE""")," ")</f>
        <v xml:space="preserve"> </v>
      </c>
      <c r="U103" s="1">
        <f ca="1">IFERROR(__xludf.DUMMYFUNCTION("""COMPUTED_VALUE"""),101)</f>
        <v>101</v>
      </c>
      <c r="V103" s="1" t="str">
        <f ca="1">IFERROR(__xludf.DUMMYFUNCTION("""COMPUTED_VALUE"""),"Chris Woods")</f>
        <v>Chris Woods</v>
      </c>
      <c r="W103" s="1" t="str">
        <f ca="1">IFERROR(__xludf.DUMMYFUNCTION("""COMPUTED_VALUE"""),"M55")</f>
        <v>M55</v>
      </c>
      <c r="X103" s="1" t="str">
        <f ca="1">IFERROR(__xludf.DUMMYFUNCTION("""COMPUTED_VALUE"""),"Orangegrove AC")</f>
        <v>Orangegrove AC</v>
      </c>
      <c r="Y103" s="3">
        <f ca="1">IFERROR(__xludf.DUMMYFUNCTION("""COMPUTED_VALUE"""),0.0210532407407407)</f>
        <v>2.1053240740740699E-2</v>
      </c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 t="str">
        <f ca="1">IFERROR(__xludf.DUMMYFUNCTION("""COMPUTED_VALUE""")," ")</f>
        <v xml:space="preserve"> </v>
      </c>
      <c r="BI103" s="1" t="str">
        <f ca="1">IFERROR(__xludf.DUMMYFUNCTION("""COMPUTED_VALUE""")," ")</f>
        <v xml:space="preserve"> </v>
      </c>
      <c r="BJ103" s="1" t="str">
        <f ca="1">IFERROR(__xludf.DUMMYFUNCTION("""COMPUTED_VALUE""")," ")</f>
        <v xml:space="preserve"> </v>
      </c>
    </row>
    <row r="104" spans="1:62" x14ac:dyDescent="0.25">
      <c r="A104" s="1" t="str">
        <f ca="1">IFERROR(__xludf.DUMMYFUNCTION("""COMPUTED_VALUE""")," ")</f>
        <v xml:space="preserve"> </v>
      </c>
      <c r="B104" s="1" t="str">
        <f ca="1">IFERROR(__xludf.DUMMYFUNCTION("""COMPUTED_VALUE""")," ")</f>
        <v xml:space="preserve"> </v>
      </c>
      <c r="C104" s="1" t="str">
        <f ca="1">IFERROR(__xludf.DUMMYFUNCTION("""COMPUTED_VALUE""")," ")</f>
        <v xml:space="preserve"> </v>
      </c>
      <c r="D104" s="1" t="str">
        <f ca="1">IFERROR(__xludf.DUMMYFUNCTION("""COMPUTED_VALUE""")," ")</f>
        <v xml:space="preserve"> </v>
      </c>
      <c r="E104" s="1" t="str">
        <f ca="1">IFERROR(__xludf.DUMMYFUNCTION("""COMPUTED_VALUE""")," ")</f>
        <v xml:space="preserve"> </v>
      </c>
      <c r="F104" s="1" t="str">
        <f ca="1">IFERROR(__xludf.DUMMYFUNCTION("""COMPUTED_VALUE""")," ")</f>
        <v xml:space="preserve"> </v>
      </c>
      <c r="G104" s="1" t="str">
        <f ca="1">IFERROR(__xludf.DUMMYFUNCTION("""COMPUTED_VALUE""")," ")</f>
        <v xml:space="preserve"> </v>
      </c>
      <c r="H104" s="1" t="str">
        <f ca="1">IFERROR(__xludf.DUMMYFUNCTION("""COMPUTED_VALUE""")," ")</f>
        <v xml:space="preserve"> </v>
      </c>
      <c r="I104" s="1" t="str">
        <f ca="1">IFERROR(__xludf.DUMMYFUNCTION("""COMPUTED_VALUE""")," ")</f>
        <v xml:space="preserve"> </v>
      </c>
      <c r="J104" s="1" t="str">
        <f ca="1">IFERROR(__xludf.DUMMYFUNCTION("""COMPUTED_VALUE""")," ")</f>
        <v xml:space="preserve"> </v>
      </c>
      <c r="K104" s="1">
        <f ca="1">IFERROR(__xludf.DUMMYFUNCTION("""COMPUTED_VALUE"""),102)</f>
        <v>102</v>
      </c>
      <c r="L104" s="1" t="str">
        <f ca="1">IFERROR(__xludf.DUMMYFUNCTION("""COMPUTED_VALUE"""),"Lynda Martin")</f>
        <v>Lynda Martin</v>
      </c>
      <c r="M104" s="1" t="str">
        <f ca="1">IFERROR(__xludf.DUMMYFUNCTION("""COMPUTED_VALUE"""),"F45")</f>
        <v>F45</v>
      </c>
      <c r="N104" s="1" t="str">
        <f ca="1">IFERROR(__xludf.DUMMYFUNCTION("""COMPUTED_VALUE"""),"Murlough AC")</f>
        <v>Murlough AC</v>
      </c>
      <c r="O104" s="3">
        <f ca="1">IFERROR(__xludf.DUMMYFUNCTION("""COMPUTED_VALUE"""),0.0180208333333333)</f>
        <v>1.8020833333333298E-2</v>
      </c>
      <c r="P104" s="1" t="str">
        <f ca="1">IFERROR(__xludf.DUMMYFUNCTION("""COMPUTED_VALUE""")," ")</f>
        <v xml:space="preserve"> </v>
      </c>
      <c r="Q104" s="1" t="str">
        <f ca="1">IFERROR(__xludf.DUMMYFUNCTION("""COMPUTED_VALUE""")," ")</f>
        <v xml:space="preserve"> </v>
      </c>
      <c r="R104" s="1" t="str">
        <f ca="1">IFERROR(__xludf.DUMMYFUNCTION("""COMPUTED_VALUE""")," ")</f>
        <v xml:space="preserve"> </v>
      </c>
      <c r="S104" s="1" t="str">
        <f ca="1">IFERROR(__xludf.DUMMYFUNCTION("""COMPUTED_VALUE""")," ")</f>
        <v xml:space="preserve"> </v>
      </c>
      <c r="T104" s="1" t="str">
        <f ca="1">IFERROR(__xludf.DUMMYFUNCTION("""COMPUTED_VALUE""")," ")</f>
        <v xml:space="preserve"> </v>
      </c>
      <c r="U104" s="1">
        <f ca="1">IFERROR(__xludf.DUMMYFUNCTION("""COMPUTED_VALUE"""),102)</f>
        <v>102</v>
      </c>
      <c r="V104" s="1" t="str">
        <f ca="1">IFERROR(__xludf.DUMMYFUNCTION("""COMPUTED_VALUE"""),"Ghislain Demeuldre")</f>
        <v>Ghislain Demeuldre</v>
      </c>
      <c r="W104" s="1" t="str">
        <f ca="1">IFERROR(__xludf.DUMMYFUNCTION("""COMPUTED_VALUE"""),"M55")</f>
        <v>M55</v>
      </c>
      <c r="X104" s="1" t="str">
        <f ca="1">IFERROR(__xludf.DUMMYFUNCTION("""COMPUTED_VALUE"""),"Victoria Park &amp; Connswater AC")</f>
        <v>Victoria Park &amp; Connswater AC</v>
      </c>
      <c r="Y104" s="3">
        <f ca="1">IFERROR(__xludf.DUMMYFUNCTION("""COMPUTED_VALUE"""),0.0211226851851851)</f>
        <v>2.1122685185185099E-2</v>
      </c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 t="str">
        <f ca="1">IFERROR(__xludf.DUMMYFUNCTION("""COMPUTED_VALUE""")," ")</f>
        <v xml:space="preserve"> </v>
      </c>
      <c r="BI104" s="1" t="str">
        <f ca="1">IFERROR(__xludf.DUMMYFUNCTION("""COMPUTED_VALUE""")," ")</f>
        <v xml:space="preserve"> </v>
      </c>
      <c r="BJ104" s="1" t="str">
        <f ca="1">IFERROR(__xludf.DUMMYFUNCTION("""COMPUTED_VALUE""")," ")</f>
        <v xml:space="preserve"> </v>
      </c>
    </row>
    <row r="105" spans="1:62" x14ac:dyDescent="0.25">
      <c r="A105" s="1" t="str">
        <f ca="1">IFERROR(__xludf.DUMMYFUNCTION("""COMPUTED_VALUE""")," ")</f>
        <v xml:space="preserve"> </v>
      </c>
      <c r="B105" s="1" t="str">
        <f ca="1">IFERROR(__xludf.DUMMYFUNCTION("""COMPUTED_VALUE""")," ")</f>
        <v xml:space="preserve"> </v>
      </c>
      <c r="C105" s="1" t="str">
        <f ca="1">IFERROR(__xludf.DUMMYFUNCTION("""COMPUTED_VALUE""")," ")</f>
        <v xml:space="preserve"> </v>
      </c>
      <c r="D105" s="1" t="str">
        <f ca="1">IFERROR(__xludf.DUMMYFUNCTION("""COMPUTED_VALUE""")," ")</f>
        <v xml:space="preserve"> </v>
      </c>
      <c r="E105" s="1" t="str">
        <f ca="1">IFERROR(__xludf.DUMMYFUNCTION("""COMPUTED_VALUE""")," ")</f>
        <v xml:space="preserve"> </v>
      </c>
      <c r="F105" s="1" t="str">
        <f ca="1">IFERROR(__xludf.DUMMYFUNCTION("""COMPUTED_VALUE""")," ")</f>
        <v xml:space="preserve"> </v>
      </c>
      <c r="G105" s="1" t="str">
        <f ca="1">IFERROR(__xludf.DUMMYFUNCTION("""COMPUTED_VALUE""")," ")</f>
        <v xml:space="preserve"> </v>
      </c>
      <c r="H105" s="1" t="str">
        <f ca="1">IFERROR(__xludf.DUMMYFUNCTION("""COMPUTED_VALUE""")," ")</f>
        <v xml:space="preserve"> </v>
      </c>
      <c r="I105" s="1" t="str">
        <f ca="1">IFERROR(__xludf.DUMMYFUNCTION("""COMPUTED_VALUE""")," ")</f>
        <v xml:space="preserve"> </v>
      </c>
      <c r="J105" s="1" t="str">
        <f ca="1">IFERROR(__xludf.DUMMYFUNCTION("""COMPUTED_VALUE""")," ")</f>
        <v xml:space="preserve"> </v>
      </c>
      <c r="K105" s="1">
        <f ca="1">IFERROR(__xludf.DUMMYFUNCTION("""COMPUTED_VALUE"""),103)</f>
        <v>103</v>
      </c>
      <c r="L105" s="1" t="str">
        <f ca="1">IFERROR(__xludf.DUMMYFUNCTION("""COMPUTED_VALUE"""),"Denise Davison")</f>
        <v>Denise Davison</v>
      </c>
      <c r="M105" s="1" t="str">
        <f ca="1">IFERROR(__xludf.DUMMYFUNCTION("""COMPUTED_VALUE"""),"F50")</f>
        <v>F50</v>
      </c>
      <c r="N105" s="1" t="str">
        <f ca="1">IFERROR(__xludf.DUMMYFUNCTION("""COMPUTED_VALUE"""),"Ballydrain Harriers")</f>
        <v>Ballydrain Harriers</v>
      </c>
      <c r="O105" s="3">
        <f ca="1">IFERROR(__xludf.DUMMYFUNCTION("""COMPUTED_VALUE"""),0.0180555555555555)</f>
        <v>1.8055555555555498E-2</v>
      </c>
      <c r="P105" s="1" t="str">
        <f ca="1">IFERROR(__xludf.DUMMYFUNCTION("""COMPUTED_VALUE""")," ")</f>
        <v xml:space="preserve"> </v>
      </c>
      <c r="Q105" s="1" t="str">
        <f ca="1">IFERROR(__xludf.DUMMYFUNCTION("""COMPUTED_VALUE""")," ")</f>
        <v xml:space="preserve"> </v>
      </c>
      <c r="R105" s="1" t="str">
        <f ca="1">IFERROR(__xludf.DUMMYFUNCTION("""COMPUTED_VALUE""")," ")</f>
        <v xml:space="preserve"> </v>
      </c>
      <c r="S105" s="1" t="str">
        <f ca="1">IFERROR(__xludf.DUMMYFUNCTION("""COMPUTED_VALUE""")," ")</f>
        <v xml:space="preserve"> </v>
      </c>
      <c r="T105" s="1" t="str">
        <f ca="1">IFERROR(__xludf.DUMMYFUNCTION("""COMPUTED_VALUE""")," ")</f>
        <v xml:space="preserve"> </v>
      </c>
      <c r="U105" s="1">
        <f ca="1">IFERROR(__xludf.DUMMYFUNCTION("""COMPUTED_VALUE"""),103)</f>
        <v>103</v>
      </c>
      <c r="V105" s="1" t="str">
        <f ca="1">IFERROR(__xludf.DUMMYFUNCTION("""COMPUTED_VALUE"""),"James Ashdown")</f>
        <v>James Ashdown</v>
      </c>
      <c r="W105" s="1" t="str">
        <f ca="1">IFERROR(__xludf.DUMMYFUNCTION("""COMPUTED_VALUE"""),"M55")</f>
        <v>M55</v>
      </c>
      <c r="X105" s="1" t="str">
        <f ca="1">IFERROR(__xludf.DUMMYFUNCTION("""COMPUTED_VALUE"""),"Murlough AC")</f>
        <v>Murlough AC</v>
      </c>
      <c r="Y105" s="3">
        <f ca="1">IFERROR(__xludf.DUMMYFUNCTION("""COMPUTED_VALUE"""),0.0211574074074074)</f>
        <v>2.1157407407407399E-2</v>
      </c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 t="str">
        <f ca="1">IFERROR(__xludf.DUMMYFUNCTION("""COMPUTED_VALUE""")," ")</f>
        <v xml:space="preserve"> </v>
      </c>
      <c r="BI105" s="1" t="str">
        <f ca="1">IFERROR(__xludf.DUMMYFUNCTION("""COMPUTED_VALUE""")," ")</f>
        <v xml:space="preserve"> </v>
      </c>
      <c r="BJ105" s="1" t="str">
        <f ca="1">IFERROR(__xludf.DUMMYFUNCTION("""COMPUTED_VALUE""")," ")</f>
        <v xml:space="preserve"> </v>
      </c>
    </row>
    <row r="106" spans="1:62" x14ac:dyDescent="0.25">
      <c r="A106" s="1" t="str">
        <f ca="1">IFERROR(__xludf.DUMMYFUNCTION("""COMPUTED_VALUE""")," ")</f>
        <v xml:space="preserve"> </v>
      </c>
      <c r="B106" s="1" t="str">
        <f ca="1">IFERROR(__xludf.DUMMYFUNCTION("""COMPUTED_VALUE""")," ")</f>
        <v xml:space="preserve"> </v>
      </c>
      <c r="C106" s="1" t="str">
        <f ca="1">IFERROR(__xludf.DUMMYFUNCTION("""COMPUTED_VALUE""")," ")</f>
        <v xml:space="preserve"> </v>
      </c>
      <c r="D106" s="1" t="str">
        <f ca="1">IFERROR(__xludf.DUMMYFUNCTION("""COMPUTED_VALUE""")," ")</f>
        <v xml:space="preserve"> </v>
      </c>
      <c r="E106" s="1" t="str">
        <f ca="1">IFERROR(__xludf.DUMMYFUNCTION("""COMPUTED_VALUE""")," ")</f>
        <v xml:space="preserve"> </v>
      </c>
      <c r="F106" s="1" t="str">
        <f ca="1">IFERROR(__xludf.DUMMYFUNCTION("""COMPUTED_VALUE""")," ")</f>
        <v xml:space="preserve"> </v>
      </c>
      <c r="G106" s="1" t="str">
        <f ca="1">IFERROR(__xludf.DUMMYFUNCTION("""COMPUTED_VALUE""")," ")</f>
        <v xml:space="preserve"> </v>
      </c>
      <c r="H106" s="1" t="str">
        <f ca="1">IFERROR(__xludf.DUMMYFUNCTION("""COMPUTED_VALUE""")," ")</f>
        <v xml:space="preserve"> </v>
      </c>
      <c r="I106" s="1" t="str">
        <f ca="1">IFERROR(__xludf.DUMMYFUNCTION("""COMPUTED_VALUE""")," ")</f>
        <v xml:space="preserve"> </v>
      </c>
      <c r="J106" s="1" t="str">
        <f ca="1">IFERROR(__xludf.DUMMYFUNCTION("""COMPUTED_VALUE""")," ")</f>
        <v xml:space="preserve"> </v>
      </c>
      <c r="K106" s="1">
        <f ca="1">IFERROR(__xludf.DUMMYFUNCTION("""COMPUTED_VALUE"""),104)</f>
        <v>104</v>
      </c>
      <c r="L106" s="1" t="str">
        <f ca="1">IFERROR(__xludf.DUMMYFUNCTION("""COMPUTED_VALUE"""),"Debra Jordan")</f>
        <v>Debra Jordan</v>
      </c>
      <c r="M106" s="1" t="str">
        <f ca="1">IFERROR(__xludf.DUMMYFUNCTION("""COMPUTED_VALUE"""),"F55")</f>
        <v>F55</v>
      </c>
      <c r="N106" s="1" t="str">
        <f ca="1">IFERROR(__xludf.DUMMYFUNCTION("""COMPUTED_VALUE"""),"Ballydrain Harriers")</f>
        <v>Ballydrain Harriers</v>
      </c>
      <c r="O106" s="3">
        <f ca="1">IFERROR(__xludf.DUMMYFUNCTION("""COMPUTED_VALUE"""),0.0180671296296296)</f>
        <v>1.80671296296296E-2</v>
      </c>
      <c r="P106" s="1" t="str">
        <f ca="1">IFERROR(__xludf.DUMMYFUNCTION("""COMPUTED_VALUE""")," ")</f>
        <v xml:space="preserve"> </v>
      </c>
      <c r="Q106" s="1" t="str">
        <f ca="1">IFERROR(__xludf.DUMMYFUNCTION("""COMPUTED_VALUE""")," ")</f>
        <v xml:space="preserve"> </v>
      </c>
      <c r="R106" s="1" t="str">
        <f ca="1">IFERROR(__xludf.DUMMYFUNCTION("""COMPUTED_VALUE""")," ")</f>
        <v xml:space="preserve"> </v>
      </c>
      <c r="S106" s="1" t="str">
        <f ca="1">IFERROR(__xludf.DUMMYFUNCTION("""COMPUTED_VALUE""")," ")</f>
        <v xml:space="preserve"> </v>
      </c>
      <c r="T106" s="1" t="str">
        <f ca="1">IFERROR(__xludf.DUMMYFUNCTION("""COMPUTED_VALUE""")," ")</f>
        <v xml:space="preserve"> </v>
      </c>
      <c r="U106" s="1">
        <f ca="1">IFERROR(__xludf.DUMMYFUNCTION("""COMPUTED_VALUE"""),104)</f>
        <v>104</v>
      </c>
      <c r="V106" s="1" t="str">
        <f ca="1">IFERROR(__xludf.DUMMYFUNCTION("""COMPUTED_VALUE"""),"Oliver Murphy")</f>
        <v>Oliver Murphy</v>
      </c>
      <c r="W106" s="1" t="str">
        <f ca="1">IFERROR(__xludf.DUMMYFUNCTION("""COMPUTED_VALUE"""),"M50")</f>
        <v>M50</v>
      </c>
      <c r="X106" s="1" t="str">
        <f ca="1">IFERROR(__xludf.DUMMYFUNCTION("""COMPUTED_VALUE"""),"Acorns AC")</f>
        <v>Acorns AC</v>
      </c>
      <c r="Y106" s="3">
        <f ca="1">IFERROR(__xludf.DUMMYFUNCTION("""COMPUTED_VALUE"""),0.0211921296296296)</f>
        <v>2.1192129629629599E-2</v>
      </c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 t="str">
        <f ca="1">IFERROR(__xludf.DUMMYFUNCTION("""COMPUTED_VALUE""")," ")</f>
        <v xml:space="preserve"> </v>
      </c>
      <c r="BI106" s="1" t="str">
        <f ca="1">IFERROR(__xludf.DUMMYFUNCTION("""COMPUTED_VALUE""")," ")</f>
        <v xml:space="preserve"> </v>
      </c>
      <c r="BJ106" s="1" t="str">
        <f ca="1">IFERROR(__xludf.DUMMYFUNCTION("""COMPUTED_VALUE""")," ")</f>
        <v xml:space="preserve"> </v>
      </c>
    </row>
    <row r="107" spans="1:62" x14ac:dyDescent="0.25">
      <c r="A107" s="1" t="str">
        <f ca="1">IFERROR(__xludf.DUMMYFUNCTION("""COMPUTED_VALUE""")," ")</f>
        <v xml:space="preserve"> </v>
      </c>
      <c r="B107" s="1" t="str">
        <f ca="1">IFERROR(__xludf.DUMMYFUNCTION("""COMPUTED_VALUE""")," ")</f>
        <v xml:space="preserve"> </v>
      </c>
      <c r="C107" s="1" t="str">
        <f ca="1">IFERROR(__xludf.DUMMYFUNCTION("""COMPUTED_VALUE""")," ")</f>
        <v xml:space="preserve"> </v>
      </c>
      <c r="D107" s="1" t="str">
        <f ca="1">IFERROR(__xludf.DUMMYFUNCTION("""COMPUTED_VALUE""")," ")</f>
        <v xml:space="preserve"> </v>
      </c>
      <c r="E107" s="1" t="str">
        <f ca="1">IFERROR(__xludf.DUMMYFUNCTION("""COMPUTED_VALUE""")," ")</f>
        <v xml:space="preserve"> </v>
      </c>
      <c r="F107" s="1" t="str">
        <f ca="1">IFERROR(__xludf.DUMMYFUNCTION("""COMPUTED_VALUE""")," ")</f>
        <v xml:space="preserve"> </v>
      </c>
      <c r="G107" s="1" t="str">
        <f ca="1">IFERROR(__xludf.DUMMYFUNCTION("""COMPUTED_VALUE""")," ")</f>
        <v xml:space="preserve"> </v>
      </c>
      <c r="H107" s="1" t="str">
        <f ca="1">IFERROR(__xludf.DUMMYFUNCTION("""COMPUTED_VALUE""")," ")</f>
        <v xml:space="preserve"> </v>
      </c>
      <c r="I107" s="1" t="str">
        <f ca="1">IFERROR(__xludf.DUMMYFUNCTION("""COMPUTED_VALUE""")," ")</f>
        <v xml:space="preserve"> </v>
      </c>
      <c r="J107" s="1" t="str">
        <f ca="1">IFERROR(__xludf.DUMMYFUNCTION("""COMPUTED_VALUE""")," ")</f>
        <v xml:space="preserve"> </v>
      </c>
      <c r="K107" s="1">
        <f ca="1">IFERROR(__xludf.DUMMYFUNCTION("""COMPUTED_VALUE"""),105)</f>
        <v>105</v>
      </c>
      <c r="L107" s="1" t="str">
        <f ca="1">IFERROR(__xludf.DUMMYFUNCTION("""COMPUTED_VALUE"""),"Donna Baker")</f>
        <v>Donna Baker</v>
      </c>
      <c r="M107" s="1" t="str">
        <f ca="1">IFERROR(__xludf.DUMMYFUNCTION("""COMPUTED_VALUE"""),"F35")</f>
        <v>F35</v>
      </c>
      <c r="N107" s="1" t="str">
        <f ca="1">IFERROR(__xludf.DUMMYFUNCTION("""COMPUTED_VALUE"""),"Murlough AC")</f>
        <v>Murlough AC</v>
      </c>
      <c r="O107" s="3">
        <f ca="1">IFERROR(__xludf.DUMMYFUNCTION("""COMPUTED_VALUE"""),0.0181481481481481)</f>
        <v>1.8148148148148101E-2</v>
      </c>
      <c r="P107" s="1" t="str">
        <f ca="1">IFERROR(__xludf.DUMMYFUNCTION("""COMPUTED_VALUE""")," ")</f>
        <v xml:space="preserve"> </v>
      </c>
      <c r="Q107" s="1" t="str">
        <f ca="1">IFERROR(__xludf.DUMMYFUNCTION("""COMPUTED_VALUE""")," ")</f>
        <v xml:space="preserve"> </v>
      </c>
      <c r="R107" s="1" t="str">
        <f ca="1">IFERROR(__xludf.DUMMYFUNCTION("""COMPUTED_VALUE""")," ")</f>
        <v xml:space="preserve"> </v>
      </c>
      <c r="S107" s="1" t="str">
        <f ca="1">IFERROR(__xludf.DUMMYFUNCTION("""COMPUTED_VALUE""")," ")</f>
        <v xml:space="preserve"> </v>
      </c>
      <c r="T107" s="1" t="str">
        <f ca="1">IFERROR(__xludf.DUMMYFUNCTION("""COMPUTED_VALUE""")," ")</f>
        <v xml:space="preserve"> </v>
      </c>
      <c r="U107" s="1">
        <f ca="1">IFERROR(__xludf.DUMMYFUNCTION("""COMPUTED_VALUE"""),105)</f>
        <v>105</v>
      </c>
      <c r="V107" s="1" t="str">
        <f ca="1">IFERROR(__xludf.DUMMYFUNCTION("""COMPUTED_VALUE"""),"Adam Morgan")</f>
        <v>Adam Morgan</v>
      </c>
      <c r="W107" s="1" t="str">
        <f ca="1">IFERROR(__xludf.DUMMYFUNCTION("""COMPUTED_VALUE"""),"MO")</f>
        <v>MO</v>
      </c>
      <c r="X107" s="1" t="str">
        <f ca="1">IFERROR(__xludf.DUMMYFUNCTION("""COMPUTED_VALUE"""),"East Down AC")</f>
        <v>East Down AC</v>
      </c>
      <c r="Y107" s="3">
        <f ca="1">IFERROR(__xludf.DUMMYFUNCTION("""COMPUTED_VALUE"""),0.0212268518518518)</f>
        <v>2.1226851851851799E-2</v>
      </c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 t="str">
        <f ca="1">IFERROR(__xludf.DUMMYFUNCTION("""COMPUTED_VALUE""")," ")</f>
        <v xml:space="preserve"> </v>
      </c>
      <c r="BI107" s="1" t="str">
        <f ca="1">IFERROR(__xludf.DUMMYFUNCTION("""COMPUTED_VALUE""")," ")</f>
        <v xml:space="preserve"> </v>
      </c>
      <c r="BJ107" s="1" t="str">
        <f ca="1">IFERROR(__xludf.DUMMYFUNCTION("""COMPUTED_VALUE""")," ")</f>
        <v xml:space="preserve"> </v>
      </c>
    </row>
    <row r="108" spans="1:62" x14ac:dyDescent="0.25">
      <c r="A108" s="1" t="str">
        <f ca="1">IFERROR(__xludf.DUMMYFUNCTION("""COMPUTED_VALUE""")," ")</f>
        <v xml:space="preserve"> </v>
      </c>
      <c r="B108" s="1" t="str">
        <f ca="1">IFERROR(__xludf.DUMMYFUNCTION("""COMPUTED_VALUE""")," ")</f>
        <v xml:space="preserve"> </v>
      </c>
      <c r="C108" s="1" t="str">
        <f ca="1">IFERROR(__xludf.DUMMYFUNCTION("""COMPUTED_VALUE""")," ")</f>
        <v xml:space="preserve"> </v>
      </c>
      <c r="D108" s="1" t="str">
        <f ca="1">IFERROR(__xludf.DUMMYFUNCTION("""COMPUTED_VALUE""")," ")</f>
        <v xml:space="preserve"> </v>
      </c>
      <c r="E108" s="1" t="str">
        <f ca="1">IFERROR(__xludf.DUMMYFUNCTION("""COMPUTED_VALUE""")," ")</f>
        <v xml:space="preserve"> </v>
      </c>
      <c r="F108" s="1" t="str">
        <f ca="1">IFERROR(__xludf.DUMMYFUNCTION("""COMPUTED_VALUE""")," ")</f>
        <v xml:space="preserve"> </v>
      </c>
      <c r="G108" s="1" t="str">
        <f ca="1">IFERROR(__xludf.DUMMYFUNCTION("""COMPUTED_VALUE""")," ")</f>
        <v xml:space="preserve"> </v>
      </c>
      <c r="H108" s="1" t="str">
        <f ca="1">IFERROR(__xludf.DUMMYFUNCTION("""COMPUTED_VALUE""")," ")</f>
        <v xml:space="preserve"> </v>
      </c>
      <c r="I108" s="1" t="str">
        <f ca="1">IFERROR(__xludf.DUMMYFUNCTION("""COMPUTED_VALUE""")," ")</f>
        <v xml:space="preserve"> </v>
      </c>
      <c r="J108" s="1" t="str">
        <f ca="1">IFERROR(__xludf.DUMMYFUNCTION("""COMPUTED_VALUE""")," ")</f>
        <v xml:space="preserve"> </v>
      </c>
      <c r="K108" s="1">
        <f ca="1">IFERROR(__xludf.DUMMYFUNCTION("""COMPUTED_VALUE"""),106)</f>
        <v>106</v>
      </c>
      <c r="L108" s="1" t="str">
        <f ca="1">IFERROR(__xludf.DUMMYFUNCTION("""COMPUTED_VALUE"""),"Joanne Moran")</f>
        <v>Joanne Moran</v>
      </c>
      <c r="M108" s="1" t="str">
        <f ca="1">IFERROR(__xludf.DUMMYFUNCTION("""COMPUTED_VALUE"""),"F40")</f>
        <v>F40</v>
      </c>
      <c r="N108" s="1" t="str">
        <f ca="1">IFERROR(__xludf.DUMMYFUNCTION("""COMPUTED_VALUE"""),"North Down AC")</f>
        <v>North Down AC</v>
      </c>
      <c r="O108" s="3">
        <f ca="1">IFERROR(__xludf.DUMMYFUNCTION("""COMPUTED_VALUE"""),0.0181597222222222)</f>
        <v>1.8159722222222199E-2</v>
      </c>
      <c r="P108" s="1" t="str">
        <f ca="1">IFERROR(__xludf.DUMMYFUNCTION("""COMPUTED_VALUE""")," ")</f>
        <v xml:space="preserve"> </v>
      </c>
      <c r="Q108" s="1" t="str">
        <f ca="1">IFERROR(__xludf.DUMMYFUNCTION("""COMPUTED_VALUE""")," ")</f>
        <v xml:space="preserve"> </v>
      </c>
      <c r="R108" s="1" t="str">
        <f ca="1">IFERROR(__xludf.DUMMYFUNCTION("""COMPUTED_VALUE""")," ")</f>
        <v xml:space="preserve"> </v>
      </c>
      <c r="S108" s="1" t="str">
        <f ca="1">IFERROR(__xludf.DUMMYFUNCTION("""COMPUTED_VALUE""")," ")</f>
        <v xml:space="preserve"> </v>
      </c>
      <c r="T108" s="1" t="str">
        <f ca="1">IFERROR(__xludf.DUMMYFUNCTION("""COMPUTED_VALUE""")," ")</f>
        <v xml:space="preserve"> </v>
      </c>
      <c r="U108" s="1">
        <f ca="1">IFERROR(__xludf.DUMMYFUNCTION("""COMPUTED_VALUE"""),106)</f>
        <v>106</v>
      </c>
      <c r="V108" s="1" t="str">
        <f ca="1">IFERROR(__xludf.DUMMYFUNCTION("""COMPUTED_VALUE"""),"Neill Dickson")</f>
        <v>Neill Dickson</v>
      </c>
      <c r="W108" s="1" t="str">
        <f ca="1">IFERROR(__xludf.DUMMYFUNCTION("""COMPUTED_VALUE"""),"M50")</f>
        <v>M50</v>
      </c>
      <c r="X108" s="1" t="str">
        <f ca="1">IFERROR(__xludf.DUMMYFUNCTION("""COMPUTED_VALUE"""),"North Down AC")</f>
        <v>North Down AC</v>
      </c>
      <c r="Y108" s="3">
        <f ca="1">IFERROR(__xludf.DUMMYFUNCTION("""COMPUTED_VALUE"""),0.0213888888888888)</f>
        <v>2.1388888888888801E-2</v>
      </c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 t="str">
        <f ca="1">IFERROR(__xludf.DUMMYFUNCTION("""COMPUTED_VALUE""")," ")</f>
        <v xml:space="preserve"> </v>
      </c>
      <c r="BI108" s="1" t="str">
        <f ca="1">IFERROR(__xludf.DUMMYFUNCTION("""COMPUTED_VALUE""")," ")</f>
        <v xml:space="preserve"> </v>
      </c>
      <c r="BJ108" s="1" t="str">
        <f ca="1">IFERROR(__xludf.DUMMYFUNCTION("""COMPUTED_VALUE""")," ")</f>
        <v xml:space="preserve"> </v>
      </c>
    </row>
    <row r="109" spans="1:62" x14ac:dyDescent="0.25">
      <c r="A109" s="1" t="str">
        <f ca="1">IFERROR(__xludf.DUMMYFUNCTION("""COMPUTED_VALUE""")," ")</f>
        <v xml:space="preserve"> </v>
      </c>
      <c r="B109" s="1" t="str">
        <f ca="1">IFERROR(__xludf.DUMMYFUNCTION("""COMPUTED_VALUE""")," ")</f>
        <v xml:space="preserve"> </v>
      </c>
      <c r="C109" s="1" t="str">
        <f ca="1">IFERROR(__xludf.DUMMYFUNCTION("""COMPUTED_VALUE""")," ")</f>
        <v xml:space="preserve"> </v>
      </c>
      <c r="D109" s="1" t="str">
        <f ca="1">IFERROR(__xludf.DUMMYFUNCTION("""COMPUTED_VALUE""")," ")</f>
        <v xml:space="preserve"> </v>
      </c>
      <c r="E109" s="1" t="str">
        <f ca="1">IFERROR(__xludf.DUMMYFUNCTION("""COMPUTED_VALUE""")," ")</f>
        <v xml:space="preserve"> </v>
      </c>
      <c r="F109" s="1" t="str">
        <f ca="1">IFERROR(__xludf.DUMMYFUNCTION("""COMPUTED_VALUE""")," ")</f>
        <v xml:space="preserve"> </v>
      </c>
      <c r="G109" s="1" t="str">
        <f ca="1">IFERROR(__xludf.DUMMYFUNCTION("""COMPUTED_VALUE""")," ")</f>
        <v xml:space="preserve"> </v>
      </c>
      <c r="H109" s="1" t="str">
        <f ca="1">IFERROR(__xludf.DUMMYFUNCTION("""COMPUTED_VALUE""")," ")</f>
        <v xml:space="preserve"> </v>
      </c>
      <c r="I109" s="1" t="str">
        <f ca="1">IFERROR(__xludf.DUMMYFUNCTION("""COMPUTED_VALUE""")," ")</f>
        <v xml:space="preserve"> </v>
      </c>
      <c r="J109" s="1" t="str">
        <f ca="1">IFERROR(__xludf.DUMMYFUNCTION("""COMPUTED_VALUE""")," ")</f>
        <v xml:space="preserve"> </v>
      </c>
      <c r="K109" s="1">
        <f ca="1">IFERROR(__xludf.DUMMYFUNCTION("""COMPUTED_VALUE"""),107)</f>
        <v>107</v>
      </c>
      <c r="L109" s="1" t="str">
        <f ca="1">IFERROR(__xludf.DUMMYFUNCTION("""COMPUTED_VALUE"""),"Irene Downey")</f>
        <v>Irene Downey</v>
      </c>
      <c r="M109" s="1" t="str">
        <f ca="1">IFERROR(__xludf.DUMMYFUNCTION("""COMPUTED_VALUE"""),"F55")</f>
        <v>F55</v>
      </c>
      <c r="N109" s="1" t="str">
        <f ca="1">IFERROR(__xludf.DUMMYFUNCTION("""COMPUTED_VALUE"""),"County Antrim Harriers")</f>
        <v>County Antrim Harriers</v>
      </c>
      <c r="O109" s="3">
        <f ca="1">IFERROR(__xludf.DUMMYFUNCTION("""COMPUTED_VALUE"""),0.0183333333333333)</f>
        <v>1.8333333333333299E-2</v>
      </c>
      <c r="P109" s="1" t="str">
        <f ca="1">IFERROR(__xludf.DUMMYFUNCTION("""COMPUTED_VALUE""")," ")</f>
        <v xml:space="preserve"> </v>
      </c>
      <c r="Q109" s="1" t="str">
        <f ca="1">IFERROR(__xludf.DUMMYFUNCTION("""COMPUTED_VALUE""")," ")</f>
        <v xml:space="preserve"> </v>
      </c>
      <c r="R109" s="1" t="str">
        <f ca="1">IFERROR(__xludf.DUMMYFUNCTION("""COMPUTED_VALUE""")," ")</f>
        <v xml:space="preserve"> </v>
      </c>
      <c r="S109" s="1" t="str">
        <f ca="1">IFERROR(__xludf.DUMMYFUNCTION("""COMPUTED_VALUE""")," ")</f>
        <v xml:space="preserve"> </v>
      </c>
      <c r="T109" s="1" t="str">
        <f ca="1">IFERROR(__xludf.DUMMYFUNCTION("""COMPUTED_VALUE""")," ")</f>
        <v xml:space="preserve"> </v>
      </c>
      <c r="U109" s="1">
        <f ca="1">IFERROR(__xludf.DUMMYFUNCTION("""COMPUTED_VALUE"""),107)</f>
        <v>107</v>
      </c>
      <c r="V109" s="1" t="str">
        <f ca="1">IFERROR(__xludf.DUMMYFUNCTION("""COMPUTED_VALUE"""),"Sean Devlin")</f>
        <v>Sean Devlin</v>
      </c>
      <c r="W109" s="1" t="str">
        <f ca="1">IFERROR(__xludf.DUMMYFUNCTION("""COMPUTED_VALUE"""),"M55")</f>
        <v>M55</v>
      </c>
      <c r="X109" s="1" t="str">
        <f ca="1">IFERROR(__xludf.DUMMYFUNCTION("""COMPUTED_VALUE"""),"Armagh AC")</f>
        <v>Armagh AC</v>
      </c>
      <c r="Y109" s="3">
        <f ca="1">IFERROR(__xludf.DUMMYFUNCTION("""COMPUTED_VALUE"""),0.0214699074074074)</f>
        <v>2.1469907407407399E-2</v>
      </c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 t="str">
        <f ca="1">IFERROR(__xludf.DUMMYFUNCTION("""COMPUTED_VALUE""")," ")</f>
        <v xml:space="preserve"> </v>
      </c>
      <c r="BI109" s="1" t="str">
        <f ca="1">IFERROR(__xludf.DUMMYFUNCTION("""COMPUTED_VALUE""")," ")</f>
        <v xml:space="preserve"> </v>
      </c>
      <c r="BJ109" s="1" t="str">
        <f ca="1">IFERROR(__xludf.DUMMYFUNCTION("""COMPUTED_VALUE""")," ")</f>
        <v xml:space="preserve"> </v>
      </c>
    </row>
    <row r="110" spans="1:62" x14ac:dyDescent="0.25">
      <c r="A110" s="1" t="str">
        <f ca="1">IFERROR(__xludf.DUMMYFUNCTION("""COMPUTED_VALUE""")," ")</f>
        <v xml:space="preserve"> </v>
      </c>
      <c r="B110" s="1" t="str">
        <f ca="1">IFERROR(__xludf.DUMMYFUNCTION("""COMPUTED_VALUE""")," ")</f>
        <v xml:space="preserve"> </v>
      </c>
      <c r="C110" s="1" t="str">
        <f ca="1">IFERROR(__xludf.DUMMYFUNCTION("""COMPUTED_VALUE""")," ")</f>
        <v xml:space="preserve"> </v>
      </c>
      <c r="D110" s="1" t="str">
        <f ca="1">IFERROR(__xludf.DUMMYFUNCTION("""COMPUTED_VALUE""")," ")</f>
        <v xml:space="preserve"> </v>
      </c>
      <c r="E110" s="1" t="str">
        <f ca="1">IFERROR(__xludf.DUMMYFUNCTION("""COMPUTED_VALUE""")," ")</f>
        <v xml:space="preserve"> </v>
      </c>
      <c r="F110" s="1" t="str">
        <f ca="1">IFERROR(__xludf.DUMMYFUNCTION("""COMPUTED_VALUE""")," ")</f>
        <v xml:space="preserve"> </v>
      </c>
      <c r="G110" s="1" t="str">
        <f ca="1">IFERROR(__xludf.DUMMYFUNCTION("""COMPUTED_VALUE""")," ")</f>
        <v xml:space="preserve"> </v>
      </c>
      <c r="H110" s="1" t="str">
        <f ca="1">IFERROR(__xludf.DUMMYFUNCTION("""COMPUTED_VALUE""")," ")</f>
        <v xml:space="preserve"> </v>
      </c>
      <c r="I110" s="1" t="str">
        <f ca="1">IFERROR(__xludf.DUMMYFUNCTION("""COMPUTED_VALUE""")," ")</f>
        <v xml:space="preserve"> </v>
      </c>
      <c r="J110" s="1" t="str">
        <f ca="1">IFERROR(__xludf.DUMMYFUNCTION("""COMPUTED_VALUE""")," ")</f>
        <v xml:space="preserve"> </v>
      </c>
      <c r="K110" s="1">
        <f ca="1">IFERROR(__xludf.DUMMYFUNCTION("""COMPUTED_VALUE"""),108)</f>
        <v>108</v>
      </c>
      <c r="L110" s="1" t="str">
        <f ca="1">IFERROR(__xludf.DUMMYFUNCTION("""COMPUTED_VALUE"""),"Paula Simpson")</f>
        <v>Paula Simpson</v>
      </c>
      <c r="M110" s="1" t="str">
        <f ca="1">IFERROR(__xludf.DUMMYFUNCTION("""COMPUTED_VALUE"""),"F50")</f>
        <v>F50</v>
      </c>
      <c r="N110" s="1" t="str">
        <f ca="1">IFERROR(__xludf.DUMMYFUNCTION("""COMPUTED_VALUE"""),"North Down AC")</f>
        <v>North Down AC</v>
      </c>
      <c r="O110" s="3">
        <f ca="1">IFERROR(__xludf.DUMMYFUNCTION("""COMPUTED_VALUE"""),0.0185300925925925)</f>
        <v>1.8530092592592501E-2</v>
      </c>
      <c r="P110" s="1" t="str">
        <f ca="1">IFERROR(__xludf.DUMMYFUNCTION("""COMPUTED_VALUE""")," ")</f>
        <v xml:space="preserve"> </v>
      </c>
      <c r="Q110" s="1" t="str">
        <f ca="1">IFERROR(__xludf.DUMMYFUNCTION("""COMPUTED_VALUE""")," ")</f>
        <v xml:space="preserve"> </v>
      </c>
      <c r="R110" s="1" t="str">
        <f ca="1">IFERROR(__xludf.DUMMYFUNCTION("""COMPUTED_VALUE""")," ")</f>
        <v xml:space="preserve"> </v>
      </c>
      <c r="S110" s="1" t="str">
        <f ca="1">IFERROR(__xludf.DUMMYFUNCTION("""COMPUTED_VALUE""")," ")</f>
        <v xml:space="preserve"> </v>
      </c>
      <c r="T110" s="1" t="str">
        <f ca="1">IFERROR(__xludf.DUMMYFUNCTION("""COMPUTED_VALUE""")," ")</f>
        <v xml:space="preserve"> </v>
      </c>
      <c r="U110" s="1">
        <f ca="1">IFERROR(__xludf.DUMMYFUNCTION("""COMPUTED_VALUE"""),108)</f>
        <v>108</v>
      </c>
      <c r="V110" s="1" t="str">
        <f ca="1">IFERROR(__xludf.DUMMYFUNCTION("""COMPUTED_VALUE"""),"Nigel Davidson")</f>
        <v>Nigel Davidson</v>
      </c>
      <c r="W110" s="1" t="str">
        <f ca="1">IFERROR(__xludf.DUMMYFUNCTION("""COMPUTED_VALUE"""),"M50")</f>
        <v>M50</v>
      </c>
      <c r="X110" s="1" t="str">
        <f ca="1">IFERROR(__xludf.DUMMYFUNCTION("""COMPUTED_VALUE"""),"Ballymena Runners")</f>
        <v>Ballymena Runners</v>
      </c>
      <c r="Y110" s="3">
        <f ca="1">IFERROR(__xludf.DUMMYFUNCTION("""COMPUTED_VALUE"""),0.0215393518518518)</f>
        <v>2.1539351851851799E-2</v>
      </c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 t="str">
        <f ca="1">IFERROR(__xludf.DUMMYFUNCTION("""COMPUTED_VALUE""")," ")</f>
        <v xml:space="preserve"> </v>
      </c>
      <c r="BI110" s="1" t="str">
        <f ca="1">IFERROR(__xludf.DUMMYFUNCTION("""COMPUTED_VALUE""")," ")</f>
        <v xml:space="preserve"> </v>
      </c>
      <c r="BJ110" s="1" t="str">
        <f ca="1">IFERROR(__xludf.DUMMYFUNCTION("""COMPUTED_VALUE""")," ")</f>
        <v xml:space="preserve"> </v>
      </c>
    </row>
    <row r="111" spans="1:62" x14ac:dyDescent="0.25">
      <c r="A111" s="1"/>
      <c r="B111" s="1"/>
      <c r="C111" s="1"/>
      <c r="D111" s="1"/>
      <c r="E111" s="1"/>
      <c r="F111" s="1" t="str">
        <f ca="1">IFERROR(__xludf.DUMMYFUNCTION("""COMPUTED_VALUE""")," ")</f>
        <v xml:space="preserve"> </v>
      </c>
      <c r="G111" s="1" t="str">
        <f ca="1">IFERROR(__xludf.DUMMYFUNCTION("""COMPUTED_VALUE""")," ")</f>
        <v xml:space="preserve"> </v>
      </c>
      <c r="H111" s="1" t="str">
        <f ca="1">IFERROR(__xludf.DUMMYFUNCTION("""COMPUTED_VALUE""")," ")</f>
        <v xml:space="preserve"> </v>
      </c>
      <c r="I111" s="1" t="str">
        <f ca="1">IFERROR(__xludf.DUMMYFUNCTION("""COMPUTED_VALUE""")," ")</f>
        <v xml:space="preserve"> </v>
      </c>
      <c r="J111" s="1" t="str">
        <f ca="1">IFERROR(__xludf.DUMMYFUNCTION("""COMPUTED_VALUE""")," ")</f>
        <v xml:space="preserve"> </v>
      </c>
      <c r="K111" s="1">
        <f ca="1">IFERROR(__xludf.DUMMYFUNCTION("""COMPUTED_VALUE"""),109)</f>
        <v>109</v>
      </c>
      <c r="L111" s="1" t="str">
        <f ca="1">IFERROR(__xludf.DUMMYFUNCTION("""COMPUTED_VALUE"""),"Martina Finn")</f>
        <v>Martina Finn</v>
      </c>
      <c r="M111" s="1" t="str">
        <f ca="1">IFERROR(__xludf.DUMMYFUNCTION("""COMPUTED_VALUE"""),"F55")</f>
        <v>F55</v>
      </c>
      <c r="N111" s="1" t="str">
        <f ca="1">IFERROR(__xludf.DUMMYFUNCTION("""COMPUTED_VALUE"""),"Scrabo Striders")</f>
        <v>Scrabo Striders</v>
      </c>
      <c r="O111" s="3">
        <f ca="1">IFERROR(__xludf.DUMMYFUNCTION("""COMPUTED_VALUE"""),0.0185763888888888)</f>
        <v>1.8576388888888799E-2</v>
      </c>
      <c r="P111" s="1" t="str">
        <f ca="1">IFERROR(__xludf.DUMMYFUNCTION("""COMPUTED_VALUE""")," ")</f>
        <v xml:space="preserve"> </v>
      </c>
      <c r="Q111" s="1" t="str">
        <f ca="1">IFERROR(__xludf.DUMMYFUNCTION("""COMPUTED_VALUE""")," ")</f>
        <v xml:space="preserve"> </v>
      </c>
      <c r="R111" s="1" t="str">
        <f ca="1">IFERROR(__xludf.DUMMYFUNCTION("""COMPUTED_VALUE""")," ")</f>
        <v xml:space="preserve"> </v>
      </c>
      <c r="S111" s="1" t="str">
        <f ca="1">IFERROR(__xludf.DUMMYFUNCTION("""COMPUTED_VALUE""")," ")</f>
        <v xml:space="preserve"> </v>
      </c>
      <c r="T111" s="1" t="str">
        <f ca="1">IFERROR(__xludf.DUMMYFUNCTION("""COMPUTED_VALUE""")," ")</f>
        <v xml:space="preserve"> </v>
      </c>
      <c r="U111" s="1">
        <f ca="1">IFERROR(__xludf.DUMMYFUNCTION("""COMPUTED_VALUE"""),109)</f>
        <v>109</v>
      </c>
      <c r="V111" s="1" t="str">
        <f ca="1">IFERROR(__xludf.DUMMYFUNCTION("""COMPUTED_VALUE"""),"Niall Armstrong")</f>
        <v>Niall Armstrong</v>
      </c>
      <c r="W111" s="1" t="str">
        <f ca="1">IFERROR(__xludf.DUMMYFUNCTION("""COMPUTED_VALUE"""),"MO")</f>
        <v>MO</v>
      </c>
      <c r="X111" s="1" t="str">
        <f ca="1">IFERROR(__xludf.DUMMYFUNCTION("""COMPUTED_VALUE"""),"North Belfast Harriers")</f>
        <v>North Belfast Harriers</v>
      </c>
      <c r="Y111" s="3">
        <f ca="1">IFERROR(__xludf.DUMMYFUNCTION("""COMPUTED_VALUE"""),0.0216203703703703)</f>
        <v>2.16203703703703E-2</v>
      </c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 t="str">
        <f ca="1">IFERROR(__xludf.DUMMYFUNCTION("""COMPUTED_VALUE""")," ")</f>
        <v xml:space="preserve"> </v>
      </c>
      <c r="BI111" s="1" t="str">
        <f ca="1">IFERROR(__xludf.DUMMYFUNCTION("""COMPUTED_VALUE""")," ")</f>
        <v xml:space="preserve"> </v>
      </c>
      <c r="BJ111" s="1" t="str">
        <f ca="1">IFERROR(__xludf.DUMMYFUNCTION("""COMPUTED_VALUE""")," ")</f>
        <v xml:space="preserve"> </v>
      </c>
    </row>
    <row r="112" spans="1:62" x14ac:dyDescent="0.25">
      <c r="A112" s="1"/>
      <c r="B112" s="1"/>
      <c r="C112" s="1"/>
      <c r="D112" s="1"/>
      <c r="E112" s="1"/>
      <c r="F112" s="1" t="str">
        <f ca="1">IFERROR(__xludf.DUMMYFUNCTION("""COMPUTED_VALUE""")," ")</f>
        <v xml:space="preserve"> </v>
      </c>
      <c r="G112" s="1" t="str">
        <f ca="1">IFERROR(__xludf.DUMMYFUNCTION("""COMPUTED_VALUE""")," ")</f>
        <v xml:space="preserve"> </v>
      </c>
      <c r="H112" s="1" t="str">
        <f ca="1">IFERROR(__xludf.DUMMYFUNCTION("""COMPUTED_VALUE""")," ")</f>
        <v xml:space="preserve"> </v>
      </c>
      <c r="I112" s="1" t="str">
        <f ca="1">IFERROR(__xludf.DUMMYFUNCTION("""COMPUTED_VALUE""")," ")</f>
        <v xml:space="preserve"> </v>
      </c>
      <c r="J112" s="1" t="str">
        <f ca="1">IFERROR(__xludf.DUMMYFUNCTION("""COMPUTED_VALUE""")," ")</f>
        <v xml:space="preserve"> </v>
      </c>
      <c r="K112" s="1">
        <f ca="1">IFERROR(__xludf.DUMMYFUNCTION("""COMPUTED_VALUE"""),110)</f>
        <v>110</v>
      </c>
      <c r="L112" s="1" t="str">
        <f ca="1">IFERROR(__xludf.DUMMYFUNCTION("""COMPUTED_VALUE"""),"Liz Turton")</f>
        <v>Liz Turton</v>
      </c>
      <c r="M112" s="1" t="str">
        <f ca="1">IFERROR(__xludf.DUMMYFUNCTION("""COMPUTED_VALUE"""),"F60")</f>
        <v>F60</v>
      </c>
      <c r="N112" s="1" t="str">
        <f ca="1">IFERROR(__xludf.DUMMYFUNCTION("""COMPUTED_VALUE"""),"NIMAA")</f>
        <v>NIMAA</v>
      </c>
      <c r="O112" s="3">
        <f ca="1">IFERROR(__xludf.DUMMYFUNCTION("""COMPUTED_VALUE"""),0.0186689814814814)</f>
        <v>1.8668981481481401E-2</v>
      </c>
      <c r="P112" s="1" t="str">
        <f ca="1">IFERROR(__xludf.DUMMYFUNCTION("""COMPUTED_VALUE""")," ")</f>
        <v xml:space="preserve"> </v>
      </c>
      <c r="Q112" s="1" t="str">
        <f ca="1">IFERROR(__xludf.DUMMYFUNCTION("""COMPUTED_VALUE""")," ")</f>
        <v xml:space="preserve"> </v>
      </c>
      <c r="R112" s="1" t="str">
        <f ca="1">IFERROR(__xludf.DUMMYFUNCTION("""COMPUTED_VALUE""")," ")</f>
        <v xml:space="preserve"> </v>
      </c>
      <c r="S112" s="1" t="str">
        <f ca="1">IFERROR(__xludf.DUMMYFUNCTION("""COMPUTED_VALUE""")," ")</f>
        <v xml:space="preserve"> </v>
      </c>
      <c r="T112" s="1" t="str">
        <f ca="1">IFERROR(__xludf.DUMMYFUNCTION("""COMPUTED_VALUE""")," ")</f>
        <v xml:space="preserve"> </v>
      </c>
      <c r="U112" s="1">
        <f ca="1">IFERROR(__xludf.DUMMYFUNCTION("""COMPUTED_VALUE"""),110)</f>
        <v>110</v>
      </c>
      <c r="V112" s="1" t="str">
        <f ca="1">IFERROR(__xludf.DUMMYFUNCTION("""COMPUTED_VALUE"""),"Gerry Anderson")</f>
        <v>Gerry Anderson</v>
      </c>
      <c r="W112" s="1" t="str">
        <f ca="1">IFERROR(__xludf.DUMMYFUNCTION("""COMPUTED_VALUE"""),"M50")</f>
        <v>M50</v>
      </c>
      <c r="X112" s="1" t="str">
        <f ca="1">IFERROR(__xludf.DUMMYFUNCTION("""COMPUTED_VALUE"""),"North Belfast Harriers")</f>
        <v>North Belfast Harriers</v>
      </c>
      <c r="Y112" s="3">
        <f ca="1">IFERROR(__xludf.DUMMYFUNCTION("""COMPUTED_VALUE"""),0.0220138888888888)</f>
        <v>2.2013888888888802E-2</v>
      </c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 t="str">
        <f ca="1">IFERROR(__xludf.DUMMYFUNCTION("""COMPUTED_VALUE""")," ")</f>
        <v xml:space="preserve"> </v>
      </c>
      <c r="BI112" s="1" t="str">
        <f ca="1">IFERROR(__xludf.DUMMYFUNCTION("""COMPUTED_VALUE""")," ")</f>
        <v xml:space="preserve"> </v>
      </c>
      <c r="BJ112" s="1" t="str">
        <f ca="1">IFERROR(__xludf.DUMMYFUNCTION("""COMPUTED_VALUE""")," ")</f>
        <v xml:space="preserve"> </v>
      </c>
    </row>
    <row r="113" spans="1:62" x14ac:dyDescent="0.25">
      <c r="A113" s="1"/>
      <c r="B113" s="1"/>
      <c r="C113" s="1"/>
      <c r="D113" s="1"/>
      <c r="E113" s="1"/>
      <c r="F113" s="1" t="str">
        <f ca="1">IFERROR(__xludf.DUMMYFUNCTION("""COMPUTED_VALUE""")," ")</f>
        <v xml:space="preserve"> </v>
      </c>
      <c r="G113" s="1" t="str">
        <f ca="1">IFERROR(__xludf.DUMMYFUNCTION("""COMPUTED_VALUE""")," ")</f>
        <v xml:space="preserve"> </v>
      </c>
      <c r="H113" s="1" t="str">
        <f ca="1">IFERROR(__xludf.DUMMYFUNCTION("""COMPUTED_VALUE""")," ")</f>
        <v xml:space="preserve"> </v>
      </c>
      <c r="I113" s="1" t="str">
        <f ca="1">IFERROR(__xludf.DUMMYFUNCTION("""COMPUTED_VALUE""")," ")</f>
        <v xml:space="preserve"> </v>
      </c>
      <c r="J113" s="1" t="str">
        <f ca="1">IFERROR(__xludf.DUMMYFUNCTION("""COMPUTED_VALUE""")," ")</f>
        <v xml:space="preserve"> </v>
      </c>
      <c r="K113" s="1">
        <f ca="1">IFERROR(__xludf.DUMMYFUNCTION("""COMPUTED_VALUE"""),111)</f>
        <v>111</v>
      </c>
      <c r="L113" s="1" t="str">
        <f ca="1">IFERROR(__xludf.DUMMYFUNCTION("""COMPUTED_VALUE"""),"Chloe Reed")</f>
        <v>Chloe Reed</v>
      </c>
      <c r="M113" s="1" t="str">
        <f ca="1">IFERROR(__xludf.DUMMYFUNCTION("""COMPUTED_VALUE"""),"FO")</f>
        <v>FO</v>
      </c>
      <c r="N113" s="1"/>
      <c r="O113" s="3">
        <f ca="1">IFERROR(__xludf.DUMMYFUNCTION("""COMPUTED_VALUE"""),0.0187037037037037)</f>
        <v>1.8703703703703702E-2</v>
      </c>
      <c r="P113" s="1" t="str">
        <f ca="1">IFERROR(__xludf.DUMMYFUNCTION("""COMPUTED_VALUE""")," ")</f>
        <v xml:space="preserve"> </v>
      </c>
      <c r="Q113" s="1" t="str">
        <f ca="1">IFERROR(__xludf.DUMMYFUNCTION("""COMPUTED_VALUE""")," ")</f>
        <v xml:space="preserve"> </v>
      </c>
      <c r="R113" s="1" t="str">
        <f ca="1">IFERROR(__xludf.DUMMYFUNCTION("""COMPUTED_VALUE""")," ")</f>
        <v xml:space="preserve"> </v>
      </c>
      <c r="S113" s="1" t="str">
        <f ca="1">IFERROR(__xludf.DUMMYFUNCTION("""COMPUTED_VALUE""")," ")</f>
        <v xml:space="preserve"> </v>
      </c>
      <c r="T113" s="1" t="str">
        <f ca="1">IFERROR(__xludf.DUMMYFUNCTION("""COMPUTED_VALUE""")," ")</f>
        <v xml:space="preserve"> </v>
      </c>
      <c r="U113" s="1">
        <f ca="1">IFERROR(__xludf.DUMMYFUNCTION("""COMPUTED_VALUE"""),111)</f>
        <v>111</v>
      </c>
      <c r="V113" s="1" t="str">
        <f ca="1">IFERROR(__xludf.DUMMYFUNCTION("""COMPUTED_VALUE"""),"David Hurst")</f>
        <v>David Hurst</v>
      </c>
      <c r="W113" s="1" t="str">
        <f ca="1">IFERROR(__xludf.DUMMYFUNCTION("""COMPUTED_VALUE"""),"M35")</f>
        <v>M35</v>
      </c>
      <c r="X113" s="1" t="str">
        <f ca="1">IFERROR(__xludf.DUMMYFUNCTION("""COMPUTED_VALUE"""),"North Belfast Harriers")</f>
        <v>North Belfast Harriers</v>
      </c>
      <c r="Y113" s="3">
        <f ca="1">IFERROR(__xludf.DUMMYFUNCTION("""COMPUTED_VALUE"""),0.0223958333333333)</f>
        <v>2.2395833333333299E-2</v>
      </c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 t="str">
        <f ca="1">IFERROR(__xludf.DUMMYFUNCTION("""COMPUTED_VALUE""")," ")</f>
        <v xml:space="preserve"> </v>
      </c>
      <c r="BI113" s="1" t="str">
        <f ca="1">IFERROR(__xludf.DUMMYFUNCTION("""COMPUTED_VALUE""")," ")</f>
        <v xml:space="preserve"> </v>
      </c>
      <c r="BJ113" s="1" t="str">
        <f ca="1">IFERROR(__xludf.DUMMYFUNCTION("""COMPUTED_VALUE""")," ")</f>
        <v xml:space="preserve"> </v>
      </c>
    </row>
    <row r="114" spans="1:62" x14ac:dyDescent="0.25">
      <c r="A114" s="1"/>
      <c r="B114" s="1"/>
      <c r="C114" s="1"/>
      <c r="D114" s="1"/>
      <c r="E114" s="1"/>
      <c r="F114" s="1" t="str">
        <f ca="1">IFERROR(__xludf.DUMMYFUNCTION("""COMPUTED_VALUE""")," ")</f>
        <v xml:space="preserve"> </v>
      </c>
      <c r="G114" s="1" t="str">
        <f ca="1">IFERROR(__xludf.DUMMYFUNCTION("""COMPUTED_VALUE""")," ")</f>
        <v xml:space="preserve"> </v>
      </c>
      <c r="H114" s="1" t="str">
        <f ca="1">IFERROR(__xludf.DUMMYFUNCTION("""COMPUTED_VALUE""")," ")</f>
        <v xml:space="preserve"> </v>
      </c>
      <c r="I114" s="1" t="str">
        <f ca="1">IFERROR(__xludf.DUMMYFUNCTION("""COMPUTED_VALUE""")," ")</f>
        <v xml:space="preserve"> </v>
      </c>
      <c r="J114" s="1" t="str">
        <f ca="1">IFERROR(__xludf.DUMMYFUNCTION("""COMPUTED_VALUE""")," ")</f>
        <v xml:space="preserve"> </v>
      </c>
      <c r="K114" s="1">
        <f ca="1">IFERROR(__xludf.DUMMYFUNCTION("""COMPUTED_VALUE"""),112)</f>
        <v>112</v>
      </c>
      <c r="L114" s="1" t="str">
        <f ca="1">IFERROR(__xludf.DUMMYFUNCTION("""COMPUTED_VALUE"""),"Paula McKibbin")</f>
        <v>Paula McKibbin</v>
      </c>
      <c r="M114" s="1" t="str">
        <f ca="1">IFERROR(__xludf.DUMMYFUNCTION("""COMPUTED_VALUE"""),"F50")</f>
        <v>F50</v>
      </c>
      <c r="N114" s="1" t="str">
        <f ca="1">IFERROR(__xludf.DUMMYFUNCTION("""COMPUTED_VALUE"""),"Murlough AC")</f>
        <v>Murlough AC</v>
      </c>
      <c r="O114" s="3">
        <f ca="1">IFERROR(__xludf.DUMMYFUNCTION("""COMPUTED_VALUE"""),0.0187152777777777)</f>
        <v>1.8715277777777699E-2</v>
      </c>
      <c r="P114" s="1" t="str">
        <f ca="1">IFERROR(__xludf.DUMMYFUNCTION("""COMPUTED_VALUE""")," ")</f>
        <v xml:space="preserve"> </v>
      </c>
      <c r="Q114" s="1" t="str">
        <f ca="1">IFERROR(__xludf.DUMMYFUNCTION("""COMPUTED_VALUE""")," ")</f>
        <v xml:space="preserve"> </v>
      </c>
      <c r="R114" s="1" t="str">
        <f ca="1">IFERROR(__xludf.DUMMYFUNCTION("""COMPUTED_VALUE""")," ")</f>
        <v xml:space="preserve"> </v>
      </c>
      <c r="S114" s="1" t="str">
        <f ca="1">IFERROR(__xludf.DUMMYFUNCTION("""COMPUTED_VALUE""")," ")</f>
        <v xml:space="preserve"> </v>
      </c>
      <c r="T114" s="1" t="str">
        <f ca="1">IFERROR(__xludf.DUMMYFUNCTION("""COMPUTED_VALUE""")," ")</f>
        <v xml:space="preserve"> </v>
      </c>
      <c r="U114" s="1">
        <f ca="1">IFERROR(__xludf.DUMMYFUNCTION("""COMPUTED_VALUE"""),112)</f>
        <v>112</v>
      </c>
      <c r="V114" s="1" t="str">
        <f ca="1">IFERROR(__xludf.DUMMYFUNCTION("""COMPUTED_VALUE"""),"Richard Moore")</f>
        <v>Richard Moore</v>
      </c>
      <c r="W114" s="1" t="str">
        <f ca="1">IFERROR(__xludf.DUMMYFUNCTION("""COMPUTED_VALUE"""),"M50")</f>
        <v>M50</v>
      </c>
      <c r="X114" s="1" t="str">
        <f ca="1">IFERROR(__xludf.DUMMYFUNCTION("""COMPUTED_VALUE"""),"Victoria Park &amp; Connswater AC")</f>
        <v>Victoria Park &amp; Connswater AC</v>
      </c>
      <c r="Y114" s="3">
        <f ca="1">IFERROR(__xludf.DUMMYFUNCTION("""COMPUTED_VALUE"""),0.0224768518518518)</f>
        <v>2.24768518518518E-2</v>
      </c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 t="str">
        <f ca="1">IFERROR(__xludf.DUMMYFUNCTION("""COMPUTED_VALUE""")," ")</f>
        <v xml:space="preserve"> </v>
      </c>
      <c r="BI114" s="1" t="str">
        <f ca="1">IFERROR(__xludf.DUMMYFUNCTION("""COMPUTED_VALUE""")," ")</f>
        <v xml:space="preserve"> </v>
      </c>
      <c r="BJ114" s="1" t="str">
        <f ca="1">IFERROR(__xludf.DUMMYFUNCTION("""COMPUTED_VALUE""")," ")</f>
        <v xml:space="preserve"> </v>
      </c>
    </row>
    <row r="115" spans="1:62" x14ac:dyDescent="0.25">
      <c r="A115" s="1"/>
      <c r="B115" s="1"/>
      <c r="C115" s="1"/>
      <c r="D115" s="1"/>
      <c r="E115" s="1"/>
      <c r="F115" s="1" t="str">
        <f ca="1">IFERROR(__xludf.DUMMYFUNCTION("""COMPUTED_VALUE""")," ")</f>
        <v xml:space="preserve"> </v>
      </c>
      <c r="G115" s="1" t="str">
        <f ca="1">IFERROR(__xludf.DUMMYFUNCTION("""COMPUTED_VALUE""")," ")</f>
        <v xml:space="preserve"> </v>
      </c>
      <c r="H115" s="1" t="str">
        <f ca="1">IFERROR(__xludf.DUMMYFUNCTION("""COMPUTED_VALUE""")," ")</f>
        <v xml:space="preserve"> </v>
      </c>
      <c r="I115" s="1" t="str">
        <f ca="1">IFERROR(__xludf.DUMMYFUNCTION("""COMPUTED_VALUE""")," ")</f>
        <v xml:space="preserve"> </v>
      </c>
      <c r="J115" s="1" t="str">
        <f ca="1">IFERROR(__xludf.DUMMYFUNCTION("""COMPUTED_VALUE""")," ")</f>
        <v xml:space="preserve"> </v>
      </c>
      <c r="K115" s="1">
        <f ca="1">IFERROR(__xludf.DUMMYFUNCTION("""COMPUTED_VALUE"""),113)</f>
        <v>113</v>
      </c>
      <c r="L115" s="1" t="str">
        <f ca="1">IFERROR(__xludf.DUMMYFUNCTION("""COMPUTED_VALUE"""),"Karen Wilson")</f>
        <v>Karen Wilson</v>
      </c>
      <c r="M115" s="1" t="str">
        <f ca="1">IFERROR(__xludf.DUMMYFUNCTION("""COMPUTED_VALUE"""),"F45")</f>
        <v>F45</v>
      </c>
      <c r="N115" s="1" t="str">
        <f ca="1">IFERROR(__xludf.DUMMYFUNCTION("""COMPUTED_VALUE"""),"County Antrim Harriers")</f>
        <v>County Antrim Harriers</v>
      </c>
      <c r="O115" s="3">
        <f ca="1">IFERROR(__xludf.DUMMYFUNCTION("""COMPUTED_VALUE"""),0.0187152777777777)</f>
        <v>1.8715277777777699E-2</v>
      </c>
      <c r="P115" s="1" t="str">
        <f ca="1">IFERROR(__xludf.DUMMYFUNCTION("""COMPUTED_VALUE""")," ")</f>
        <v xml:space="preserve"> </v>
      </c>
      <c r="Q115" s="1" t="str">
        <f ca="1">IFERROR(__xludf.DUMMYFUNCTION("""COMPUTED_VALUE""")," ")</f>
        <v xml:space="preserve"> </v>
      </c>
      <c r="R115" s="1" t="str">
        <f ca="1">IFERROR(__xludf.DUMMYFUNCTION("""COMPUTED_VALUE""")," ")</f>
        <v xml:space="preserve"> </v>
      </c>
      <c r="S115" s="1" t="str">
        <f ca="1">IFERROR(__xludf.DUMMYFUNCTION("""COMPUTED_VALUE""")," ")</f>
        <v xml:space="preserve"> </v>
      </c>
      <c r="T115" s="1" t="str">
        <f ca="1">IFERROR(__xludf.DUMMYFUNCTION("""COMPUTED_VALUE""")," ")</f>
        <v xml:space="preserve"> </v>
      </c>
      <c r="U115" s="1">
        <f ca="1">IFERROR(__xludf.DUMMYFUNCTION("""COMPUTED_VALUE"""),113)</f>
        <v>113</v>
      </c>
      <c r="V115" s="1" t="str">
        <f ca="1">IFERROR(__xludf.DUMMYFUNCTION("""COMPUTED_VALUE"""),"Dave Fulcher")</f>
        <v>Dave Fulcher</v>
      </c>
      <c r="W115" s="1" t="str">
        <f ca="1">IFERROR(__xludf.DUMMYFUNCTION("""COMPUTED_VALUE"""),"M60")</f>
        <v>M60</v>
      </c>
      <c r="X115" s="1" t="str">
        <f ca="1">IFERROR(__xludf.DUMMYFUNCTION("""COMPUTED_VALUE"""),"Murlough AC")</f>
        <v>Murlough AC</v>
      </c>
      <c r="Y115" s="3">
        <f ca="1">IFERROR(__xludf.DUMMYFUNCTION("""COMPUTED_VALUE"""),0.0228703703703703)</f>
        <v>2.2870370370370301E-2</v>
      </c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 t="str">
        <f ca="1">IFERROR(__xludf.DUMMYFUNCTION("""COMPUTED_VALUE""")," ")</f>
        <v xml:space="preserve"> </v>
      </c>
      <c r="BI115" s="1" t="str">
        <f ca="1">IFERROR(__xludf.DUMMYFUNCTION("""COMPUTED_VALUE""")," ")</f>
        <v xml:space="preserve"> </v>
      </c>
      <c r="BJ115" s="1" t="str">
        <f ca="1">IFERROR(__xludf.DUMMYFUNCTION("""COMPUTED_VALUE""")," ")</f>
        <v xml:space="preserve"> </v>
      </c>
    </row>
    <row r="116" spans="1:62" x14ac:dyDescent="0.25">
      <c r="A116" s="1"/>
      <c r="B116" s="1"/>
      <c r="C116" s="1"/>
      <c r="D116" s="1"/>
      <c r="E116" s="1"/>
      <c r="F116" s="1" t="str">
        <f ca="1">IFERROR(__xludf.DUMMYFUNCTION("""COMPUTED_VALUE""")," ")</f>
        <v xml:space="preserve"> </v>
      </c>
      <c r="G116" s="1" t="str">
        <f ca="1">IFERROR(__xludf.DUMMYFUNCTION("""COMPUTED_VALUE""")," ")</f>
        <v xml:space="preserve"> </v>
      </c>
      <c r="H116" s="1" t="str">
        <f ca="1">IFERROR(__xludf.DUMMYFUNCTION("""COMPUTED_VALUE""")," ")</f>
        <v xml:space="preserve"> </v>
      </c>
      <c r="I116" s="1" t="str">
        <f ca="1">IFERROR(__xludf.DUMMYFUNCTION("""COMPUTED_VALUE""")," ")</f>
        <v xml:space="preserve"> </v>
      </c>
      <c r="J116" s="1" t="str">
        <f ca="1">IFERROR(__xludf.DUMMYFUNCTION("""COMPUTED_VALUE""")," ")</f>
        <v xml:space="preserve"> </v>
      </c>
      <c r="K116" s="1">
        <f ca="1">IFERROR(__xludf.DUMMYFUNCTION("""COMPUTED_VALUE"""),114)</f>
        <v>114</v>
      </c>
      <c r="L116" s="1" t="str">
        <f ca="1">IFERROR(__xludf.DUMMYFUNCTION("""COMPUTED_VALUE"""),"Clare McIlveen")</f>
        <v>Clare McIlveen</v>
      </c>
      <c r="M116" s="1" t="str">
        <f ca="1">IFERROR(__xludf.DUMMYFUNCTION("""COMPUTED_VALUE"""),"FO")</f>
        <v>FO</v>
      </c>
      <c r="N116" s="1" t="str">
        <f ca="1">IFERROR(__xludf.DUMMYFUNCTION("""COMPUTED_VALUE"""),"Scrabo Striders")</f>
        <v>Scrabo Striders</v>
      </c>
      <c r="O116" s="3">
        <f ca="1">IFERROR(__xludf.DUMMYFUNCTION("""COMPUTED_VALUE"""),0.0187268518518518)</f>
        <v>1.87268518518518E-2</v>
      </c>
      <c r="P116" s="1" t="str">
        <f ca="1">IFERROR(__xludf.DUMMYFUNCTION("""COMPUTED_VALUE""")," ")</f>
        <v xml:space="preserve"> </v>
      </c>
      <c r="Q116" s="1" t="str">
        <f ca="1">IFERROR(__xludf.DUMMYFUNCTION("""COMPUTED_VALUE""")," ")</f>
        <v xml:space="preserve"> </v>
      </c>
      <c r="R116" s="1" t="str">
        <f ca="1">IFERROR(__xludf.DUMMYFUNCTION("""COMPUTED_VALUE""")," ")</f>
        <v xml:space="preserve"> </v>
      </c>
      <c r="S116" s="1" t="str">
        <f ca="1">IFERROR(__xludf.DUMMYFUNCTION("""COMPUTED_VALUE""")," ")</f>
        <v xml:space="preserve"> </v>
      </c>
      <c r="T116" s="1" t="str">
        <f ca="1">IFERROR(__xludf.DUMMYFUNCTION("""COMPUTED_VALUE""")," ")</f>
        <v xml:space="preserve"> </v>
      </c>
      <c r="U116" s="1">
        <f ca="1">IFERROR(__xludf.DUMMYFUNCTION("""COMPUTED_VALUE"""),114)</f>
        <v>114</v>
      </c>
      <c r="V116" s="1" t="str">
        <f ca="1">IFERROR(__xludf.DUMMYFUNCTION("""COMPUTED_VALUE"""),"James Lyons")</f>
        <v>James Lyons</v>
      </c>
      <c r="W116" s="1" t="str">
        <f ca="1">IFERROR(__xludf.DUMMYFUNCTION("""COMPUTED_VALUE"""),"M50")</f>
        <v>M50</v>
      </c>
      <c r="X116" s="1" t="str">
        <f ca="1">IFERROR(__xludf.DUMMYFUNCTION("""COMPUTED_VALUE"""),"Ballydrain Harriers")</f>
        <v>Ballydrain Harriers</v>
      </c>
      <c r="Y116" s="3">
        <f ca="1">IFERROR(__xludf.DUMMYFUNCTION("""COMPUTED_VALUE"""),0.0229629629629629)</f>
        <v>2.29629629629629E-2</v>
      </c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 t="str">
        <f ca="1">IFERROR(__xludf.DUMMYFUNCTION("""COMPUTED_VALUE""")," ")</f>
        <v xml:space="preserve"> </v>
      </c>
      <c r="BI116" s="1" t="str">
        <f ca="1">IFERROR(__xludf.DUMMYFUNCTION("""COMPUTED_VALUE""")," ")</f>
        <v xml:space="preserve"> </v>
      </c>
      <c r="BJ116" s="1" t="str">
        <f ca="1">IFERROR(__xludf.DUMMYFUNCTION("""COMPUTED_VALUE""")," ")</f>
        <v xml:space="preserve"> </v>
      </c>
    </row>
    <row r="117" spans="1:62" x14ac:dyDescent="0.25">
      <c r="A117" s="1"/>
      <c r="B117" s="1"/>
      <c r="C117" s="1"/>
      <c r="D117" s="1"/>
      <c r="E117" s="1"/>
      <c r="F117" s="1" t="str">
        <f ca="1">IFERROR(__xludf.DUMMYFUNCTION("""COMPUTED_VALUE""")," ")</f>
        <v xml:space="preserve"> </v>
      </c>
      <c r="G117" s="1" t="str">
        <f ca="1">IFERROR(__xludf.DUMMYFUNCTION("""COMPUTED_VALUE""")," ")</f>
        <v xml:space="preserve"> </v>
      </c>
      <c r="H117" s="1" t="str">
        <f ca="1">IFERROR(__xludf.DUMMYFUNCTION("""COMPUTED_VALUE""")," ")</f>
        <v xml:space="preserve"> </v>
      </c>
      <c r="I117" s="1" t="str">
        <f ca="1">IFERROR(__xludf.DUMMYFUNCTION("""COMPUTED_VALUE""")," ")</f>
        <v xml:space="preserve"> </v>
      </c>
      <c r="J117" s="1" t="str">
        <f ca="1">IFERROR(__xludf.DUMMYFUNCTION("""COMPUTED_VALUE""")," ")</f>
        <v xml:space="preserve"> </v>
      </c>
      <c r="K117" s="1">
        <f ca="1">IFERROR(__xludf.DUMMYFUNCTION("""COMPUTED_VALUE"""),115)</f>
        <v>115</v>
      </c>
      <c r="L117" s="1" t="str">
        <f ca="1">IFERROR(__xludf.DUMMYFUNCTION("""COMPUTED_VALUE"""),"Catherine Seawright")</f>
        <v>Catherine Seawright</v>
      </c>
      <c r="M117" s="1" t="str">
        <f ca="1">IFERROR(__xludf.DUMMYFUNCTION("""COMPUTED_VALUE"""),"F45")</f>
        <v>F45</v>
      </c>
      <c r="N117" s="1" t="str">
        <f ca="1">IFERROR(__xludf.DUMMYFUNCTION("""COMPUTED_VALUE"""),"North Belfast Harriers")</f>
        <v>North Belfast Harriers</v>
      </c>
      <c r="O117" s="3">
        <f ca="1">IFERROR(__xludf.DUMMYFUNCTION("""COMPUTED_VALUE"""),0.0187384259259259)</f>
        <v>1.8738425925925901E-2</v>
      </c>
      <c r="P117" s="1" t="str">
        <f ca="1">IFERROR(__xludf.DUMMYFUNCTION("""COMPUTED_VALUE""")," ")</f>
        <v xml:space="preserve"> </v>
      </c>
      <c r="Q117" s="1" t="str">
        <f ca="1">IFERROR(__xludf.DUMMYFUNCTION("""COMPUTED_VALUE""")," ")</f>
        <v xml:space="preserve"> </v>
      </c>
      <c r="R117" s="1" t="str">
        <f ca="1">IFERROR(__xludf.DUMMYFUNCTION("""COMPUTED_VALUE""")," ")</f>
        <v xml:space="preserve"> </v>
      </c>
      <c r="S117" s="1" t="str">
        <f ca="1">IFERROR(__xludf.DUMMYFUNCTION("""COMPUTED_VALUE""")," ")</f>
        <v xml:space="preserve"> </v>
      </c>
      <c r="T117" s="1" t="str">
        <f ca="1">IFERROR(__xludf.DUMMYFUNCTION("""COMPUTED_VALUE""")," ")</f>
        <v xml:space="preserve"> </v>
      </c>
      <c r="U117" s="1">
        <f ca="1">IFERROR(__xludf.DUMMYFUNCTION("""COMPUTED_VALUE"""),115)</f>
        <v>115</v>
      </c>
      <c r="V117" s="1" t="str">
        <f ca="1">IFERROR(__xludf.DUMMYFUNCTION("""COMPUTED_VALUE"""),"Peter Briggs")</f>
        <v>Peter Briggs</v>
      </c>
      <c r="W117" s="1" t="str">
        <f ca="1">IFERROR(__xludf.DUMMYFUNCTION("""COMPUTED_VALUE"""),"M40")</f>
        <v>M40</v>
      </c>
      <c r="X117" s="1" t="str">
        <f ca="1">IFERROR(__xludf.DUMMYFUNCTION("""COMPUTED_VALUE"""),"Scrabo Striders")</f>
        <v>Scrabo Striders</v>
      </c>
      <c r="Y117" s="3">
        <f ca="1">IFERROR(__xludf.DUMMYFUNCTION("""COMPUTED_VALUE"""),0.0230092592592592)</f>
        <v>2.3009259259259202E-2</v>
      </c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 t="str">
        <f ca="1">IFERROR(__xludf.DUMMYFUNCTION("""COMPUTED_VALUE""")," ")</f>
        <v xml:space="preserve"> </v>
      </c>
      <c r="BI117" s="1" t="str">
        <f ca="1">IFERROR(__xludf.DUMMYFUNCTION("""COMPUTED_VALUE""")," ")</f>
        <v xml:space="preserve"> </v>
      </c>
      <c r="BJ117" s="1" t="str">
        <f ca="1">IFERROR(__xludf.DUMMYFUNCTION("""COMPUTED_VALUE""")," ")</f>
        <v xml:space="preserve"> </v>
      </c>
    </row>
    <row r="118" spans="1:62" x14ac:dyDescent="0.25">
      <c r="A118" s="1"/>
      <c r="B118" s="1"/>
      <c r="C118" s="1"/>
      <c r="D118" s="1"/>
      <c r="E118" s="1"/>
      <c r="F118" s="1" t="str">
        <f ca="1">IFERROR(__xludf.DUMMYFUNCTION("""COMPUTED_VALUE""")," ")</f>
        <v xml:space="preserve"> </v>
      </c>
      <c r="G118" s="1" t="str">
        <f ca="1">IFERROR(__xludf.DUMMYFUNCTION("""COMPUTED_VALUE""")," ")</f>
        <v xml:space="preserve"> </v>
      </c>
      <c r="H118" s="1" t="str">
        <f ca="1">IFERROR(__xludf.DUMMYFUNCTION("""COMPUTED_VALUE""")," ")</f>
        <v xml:space="preserve"> </v>
      </c>
      <c r="I118" s="1" t="str">
        <f ca="1">IFERROR(__xludf.DUMMYFUNCTION("""COMPUTED_VALUE""")," ")</f>
        <v xml:space="preserve"> </v>
      </c>
      <c r="J118" s="1" t="str">
        <f ca="1">IFERROR(__xludf.DUMMYFUNCTION("""COMPUTED_VALUE""")," ")</f>
        <v xml:space="preserve"> </v>
      </c>
      <c r="K118" s="1">
        <f ca="1">IFERROR(__xludf.DUMMYFUNCTION("""COMPUTED_VALUE"""),116)</f>
        <v>116</v>
      </c>
      <c r="L118" s="1" t="str">
        <f ca="1">IFERROR(__xludf.DUMMYFUNCTION("""COMPUTED_VALUE"""),"Julie-May Noteman")</f>
        <v>Julie-May Noteman</v>
      </c>
      <c r="M118" s="1" t="str">
        <f ca="1">IFERROR(__xludf.DUMMYFUNCTION("""COMPUTED_VALUE"""),"F55")</f>
        <v>F55</v>
      </c>
      <c r="N118" s="1" t="str">
        <f ca="1">IFERROR(__xludf.DUMMYFUNCTION("""COMPUTED_VALUE"""),"Willowfield Harriers")</f>
        <v>Willowfield Harriers</v>
      </c>
      <c r="O118" s="3">
        <f ca="1">IFERROR(__xludf.DUMMYFUNCTION("""COMPUTED_VALUE"""),0.0188078703703703)</f>
        <v>1.8807870370370301E-2</v>
      </c>
      <c r="P118" s="1" t="str">
        <f ca="1">IFERROR(__xludf.DUMMYFUNCTION("""COMPUTED_VALUE""")," ")</f>
        <v xml:space="preserve"> </v>
      </c>
      <c r="Q118" s="1" t="str">
        <f ca="1">IFERROR(__xludf.DUMMYFUNCTION("""COMPUTED_VALUE""")," ")</f>
        <v xml:space="preserve"> </v>
      </c>
      <c r="R118" s="1" t="str">
        <f ca="1">IFERROR(__xludf.DUMMYFUNCTION("""COMPUTED_VALUE""")," ")</f>
        <v xml:space="preserve"> </v>
      </c>
      <c r="S118" s="1" t="str">
        <f ca="1">IFERROR(__xludf.DUMMYFUNCTION("""COMPUTED_VALUE""")," ")</f>
        <v xml:space="preserve"> </v>
      </c>
      <c r="T118" s="1" t="str">
        <f ca="1">IFERROR(__xludf.DUMMYFUNCTION("""COMPUTED_VALUE""")," ")</f>
        <v xml:space="preserve"> </v>
      </c>
      <c r="U118" s="1">
        <f ca="1">IFERROR(__xludf.DUMMYFUNCTION("""COMPUTED_VALUE"""),116)</f>
        <v>116</v>
      </c>
      <c r="V118" s="1" t="str">
        <f ca="1">IFERROR(__xludf.DUMMYFUNCTION("""COMPUTED_VALUE"""),"Chris Cleary")</f>
        <v>Chris Cleary</v>
      </c>
      <c r="W118" s="1" t="str">
        <f ca="1">IFERROR(__xludf.DUMMYFUNCTION("""COMPUTED_VALUE"""),"M45")</f>
        <v>M45</v>
      </c>
      <c r="X118" s="1" t="str">
        <f ca="1">IFERROR(__xludf.DUMMYFUNCTION("""COMPUTED_VALUE"""),"Ballydrain Harriers")</f>
        <v>Ballydrain Harriers</v>
      </c>
      <c r="Y118" s="3">
        <f ca="1">IFERROR(__xludf.DUMMYFUNCTION("""COMPUTED_VALUE"""),0.0230324074074074)</f>
        <v>2.3032407407407401E-2</v>
      </c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 t="str">
        <f ca="1">IFERROR(__xludf.DUMMYFUNCTION("""COMPUTED_VALUE"""),"#REF!")</f>
        <v>#REF!</v>
      </c>
      <c r="BI118" s="1" t="str">
        <f ca="1">IFERROR(__xludf.DUMMYFUNCTION("""COMPUTED_VALUE"""),"#REF!")</f>
        <v>#REF!</v>
      </c>
      <c r="BJ118" s="1" t="str">
        <f ca="1">IFERROR(__xludf.DUMMYFUNCTION("""COMPUTED_VALUE"""),"#REF!")</f>
        <v>#REF!</v>
      </c>
    </row>
    <row r="119" spans="1:62" x14ac:dyDescent="0.25">
      <c r="A119" s="1"/>
      <c r="B119" s="1"/>
      <c r="C119" s="1"/>
      <c r="D119" s="1"/>
      <c r="E119" s="1"/>
      <c r="F119" s="1" t="str">
        <f ca="1">IFERROR(__xludf.DUMMYFUNCTION("""COMPUTED_VALUE""")," ")</f>
        <v xml:space="preserve"> </v>
      </c>
      <c r="G119" s="1" t="str">
        <f ca="1">IFERROR(__xludf.DUMMYFUNCTION("""COMPUTED_VALUE""")," ")</f>
        <v xml:space="preserve"> </v>
      </c>
      <c r="H119" s="1" t="str">
        <f ca="1">IFERROR(__xludf.DUMMYFUNCTION("""COMPUTED_VALUE""")," ")</f>
        <v xml:space="preserve"> </v>
      </c>
      <c r="I119" s="1" t="str">
        <f ca="1">IFERROR(__xludf.DUMMYFUNCTION("""COMPUTED_VALUE""")," ")</f>
        <v xml:space="preserve"> </v>
      </c>
      <c r="J119" s="1" t="str">
        <f ca="1">IFERROR(__xludf.DUMMYFUNCTION("""COMPUTED_VALUE""")," ")</f>
        <v xml:space="preserve"> </v>
      </c>
      <c r="K119" s="1">
        <f ca="1">IFERROR(__xludf.DUMMYFUNCTION("""COMPUTED_VALUE"""),117)</f>
        <v>117</v>
      </c>
      <c r="L119" s="1" t="str">
        <f ca="1">IFERROR(__xludf.DUMMYFUNCTION("""COMPUTED_VALUE"""),"Elaine Weston")</f>
        <v>Elaine Weston</v>
      </c>
      <c r="M119" s="1" t="str">
        <f ca="1">IFERROR(__xludf.DUMMYFUNCTION("""COMPUTED_VALUE"""),"F40")</f>
        <v>F40</v>
      </c>
      <c r="N119" s="1" t="str">
        <f ca="1">IFERROR(__xludf.DUMMYFUNCTION("""COMPUTED_VALUE"""),"Orangegrove AC")</f>
        <v>Orangegrove AC</v>
      </c>
      <c r="O119" s="3">
        <f ca="1">IFERROR(__xludf.DUMMYFUNCTION("""COMPUTED_VALUE"""),0.0188425925925925)</f>
        <v>1.8842592592592501E-2</v>
      </c>
      <c r="P119" s="1" t="str">
        <f ca="1">IFERROR(__xludf.DUMMYFUNCTION("""COMPUTED_VALUE""")," ")</f>
        <v xml:space="preserve"> </v>
      </c>
      <c r="Q119" s="1" t="str">
        <f ca="1">IFERROR(__xludf.DUMMYFUNCTION("""COMPUTED_VALUE""")," ")</f>
        <v xml:space="preserve"> </v>
      </c>
      <c r="R119" s="1" t="str">
        <f ca="1">IFERROR(__xludf.DUMMYFUNCTION("""COMPUTED_VALUE""")," ")</f>
        <v xml:space="preserve"> </v>
      </c>
      <c r="S119" s="1" t="str">
        <f ca="1">IFERROR(__xludf.DUMMYFUNCTION("""COMPUTED_VALUE""")," ")</f>
        <v xml:space="preserve"> </v>
      </c>
      <c r="T119" s="1" t="str">
        <f ca="1">IFERROR(__xludf.DUMMYFUNCTION("""COMPUTED_VALUE""")," ")</f>
        <v xml:space="preserve"> </v>
      </c>
      <c r="U119" s="1">
        <f ca="1">IFERROR(__xludf.DUMMYFUNCTION("""COMPUTED_VALUE"""),117)</f>
        <v>117</v>
      </c>
      <c r="V119" s="1" t="str">
        <f ca="1">IFERROR(__xludf.DUMMYFUNCTION("""COMPUTED_VALUE"""),"Lyle Carleton")</f>
        <v>Lyle Carleton</v>
      </c>
      <c r="W119" s="1" t="str">
        <f ca="1">IFERROR(__xludf.DUMMYFUNCTION("""COMPUTED_VALUE"""),"M55")</f>
        <v>M55</v>
      </c>
      <c r="X119" s="1" t="str">
        <f ca="1">IFERROR(__xludf.DUMMYFUNCTION("""COMPUTED_VALUE"""),"North Belfast Harriers")</f>
        <v>North Belfast Harriers</v>
      </c>
      <c r="Y119" s="3">
        <f ca="1">IFERROR(__xludf.DUMMYFUNCTION("""COMPUTED_VALUE"""),0.0233101851851851)</f>
        <v>2.3310185185185101E-2</v>
      </c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 t="str">
        <f ca="1">IFERROR(__xludf.DUMMYFUNCTION("""COMPUTED_VALUE"""),"#REF!")</f>
        <v>#REF!</v>
      </c>
      <c r="BI119" s="1" t="str">
        <f ca="1">IFERROR(__xludf.DUMMYFUNCTION("""COMPUTED_VALUE"""),"#REF!")</f>
        <v>#REF!</v>
      </c>
      <c r="BJ119" s="1" t="str">
        <f ca="1">IFERROR(__xludf.DUMMYFUNCTION("""COMPUTED_VALUE"""),"#REF!")</f>
        <v>#REF!</v>
      </c>
    </row>
    <row r="120" spans="1:62" x14ac:dyDescent="0.25">
      <c r="A120" s="1"/>
      <c r="B120" s="1"/>
      <c r="C120" s="1"/>
      <c r="D120" s="1"/>
      <c r="E120" s="1"/>
      <c r="F120" s="1" t="str">
        <f ca="1">IFERROR(__xludf.DUMMYFUNCTION("""COMPUTED_VALUE""")," ")</f>
        <v xml:space="preserve"> </v>
      </c>
      <c r="G120" s="1" t="str">
        <f ca="1">IFERROR(__xludf.DUMMYFUNCTION("""COMPUTED_VALUE""")," ")</f>
        <v xml:space="preserve"> </v>
      </c>
      <c r="H120" s="1" t="str">
        <f ca="1">IFERROR(__xludf.DUMMYFUNCTION("""COMPUTED_VALUE""")," ")</f>
        <v xml:space="preserve"> </v>
      </c>
      <c r="I120" s="1" t="str">
        <f ca="1">IFERROR(__xludf.DUMMYFUNCTION("""COMPUTED_VALUE""")," ")</f>
        <v xml:space="preserve"> </v>
      </c>
      <c r="J120" s="1" t="str">
        <f ca="1">IFERROR(__xludf.DUMMYFUNCTION("""COMPUTED_VALUE""")," ")</f>
        <v xml:space="preserve"> </v>
      </c>
      <c r="K120" s="1">
        <f ca="1">IFERROR(__xludf.DUMMYFUNCTION("""COMPUTED_VALUE"""),118)</f>
        <v>118</v>
      </c>
      <c r="L120" s="1" t="str">
        <f ca="1">IFERROR(__xludf.DUMMYFUNCTION("""COMPUTED_VALUE"""),"Faye Rice")</f>
        <v>Faye Rice</v>
      </c>
      <c r="M120" s="1" t="str">
        <f ca="1">IFERROR(__xludf.DUMMYFUNCTION("""COMPUTED_VALUE"""),"FO")</f>
        <v>FO</v>
      </c>
      <c r="N120" s="1" t="str">
        <f ca="1">IFERROR(__xludf.DUMMYFUNCTION("""COMPUTED_VALUE"""),"Armagh AC")</f>
        <v>Armagh AC</v>
      </c>
      <c r="O120" s="3">
        <f ca="1">IFERROR(__xludf.DUMMYFUNCTION("""COMPUTED_VALUE"""),0.0189583333333333)</f>
        <v>1.8958333333333299E-2</v>
      </c>
      <c r="P120" s="1" t="str">
        <f ca="1">IFERROR(__xludf.DUMMYFUNCTION("""COMPUTED_VALUE""")," ")</f>
        <v xml:space="preserve"> </v>
      </c>
      <c r="Q120" s="1" t="str">
        <f ca="1">IFERROR(__xludf.DUMMYFUNCTION("""COMPUTED_VALUE""")," ")</f>
        <v xml:space="preserve"> </v>
      </c>
      <c r="R120" s="1" t="str">
        <f ca="1">IFERROR(__xludf.DUMMYFUNCTION("""COMPUTED_VALUE""")," ")</f>
        <v xml:space="preserve"> </v>
      </c>
      <c r="S120" s="1" t="str">
        <f ca="1">IFERROR(__xludf.DUMMYFUNCTION("""COMPUTED_VALUE""")," ")</f>
        <v xml:space="preserve"> </v>
      </c>
      <c r="T120" s="1" t="str">
        <f ca="1">IFERROR(__xludf.DUMMYFUNCTION("""COMPUTED_VALUE""")," ")</f>
        <v xml:space="preserve"> </v>
      </c>
      <c r="U120" s="1">
        <f ca="1">IFERROR(__xludf.DUMMYFUNCTION("""COMPUTED_VALUE"""),118)</f>
        <v>118</v>
      </c>
      <c r="V120" s="1" t="str">
        <f ca="1">IFERROR(__xludf.DUMMYFUNCTION("""COMPUTED_VALUE"""),"Will Blaney")</f>
        <v>Will Blaney</v>
      </c>
      <c r="W120" s="1" t="str">
        <f ca="1">IFERROR(__xludf.DUMMYFUNCTION("""COMPUTED_VALUE"""),"MO")</f>
        <v>MO</v>
      </c>
      <c r="X120" s="1" t="str">
        <f ca="1">IFERROR(__xludf.DUMMYFUNCTION("""COMPUTED_VALUE"""),"Queen's University")</f>
        <v>Queen's University</v>
      </c>
      <c r="Y120" s="3">
        <f ca="1">IFERROR(__xludf.DUMMYFUNCTION("""COMPUTED_VALUE"""),0.0234143518518518)</f>
        <v>2.3414351851851801E-2</v>
      </c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 t="str">
        <f ca="1">IFERROR(__xludf.DUMMYFUNCTION("""COMPUTED_VALUE"""),"#REF!")</f>
        <v>#REF!</v>
      </c>
      <c r="BI120" s="1" t="str">
        <f ca="1">IFERROR(__xludf.DUMMYFUNCTION("""COMPUTED_VALUE"""),"#REF!")</f>
        <v>#REF!</v>
      </c>
      <c r="BJ120" s="1" t="str">
        <f ca="1">IFERROR(__xludf.DUMMYFUNCTION("""COMPUTED_VALUE"""),"#REF!")</f>
        <v>#REF!</v>
      </c>
    </row>
    <row r="121" spans="1:62" x14ac:dyDescent="0.25">
      <c r="A121" s="1"/>
      <c r="B121" s="1"/>
      <c r="C121" s="1"/>
      <c r="D121" s="1"/>
      <c r="E121" s="1"/>
      <c r="F121" s="1" t="str">
        <f ca="1">IFERROR(__xludf.DUMMYFUNCTION("""COMPUTED_VALUE""")," ")</f>
        <v xml:space="preserve"> </v>
      </c>
      <c r="G121" s="1" t="str">
        <f ca="1">IFERROR(__xludf.DUMMYFUNCTION("""COMPUTED_VALUE""")," ")</f>
        <v xml:space="preserve"> </v>
      </c>
      <c r="H121" s="1" t="str">
        <f ca="1">IFERROR(__xludf.DUMMYFUNCTION("""COMPUTED_VALUE""")," ")</f>
        <v xml:space="preserve"> </v>
      </c>
      <c r="I121" s="1" t="str">
        <f ca="1">IFERROR(__xludf.DUMMYFUNCTION("""COMPUTED_VALUE""")," ")</f>
        <v xml:space="preserve"> </v>
      </c>
      <c r="J121" s="1" t="str">
        <f ca="1">IFERROR(__xludf.DUMMYFUNCTION("""COMPUTED_VALUE""")," ")</f>
        <v xml:space="preserve"> </v>
      </c>
      <c r="K121" s="1">
        <f ca="1">IFERROR(__xludf.DUMMYFUNCTION("""COMPUTED_VALUE"""),119)</f>
        <v>119</v>
      </c>
      <c r="L121" s="1" t="str">
        <f ca="1">IFERROR(__xludf.DUMMYFUNCTION("""COMPUTED_VALUE"""),"Judith McCann")</f>
        <v>Judith McCann</v>
      </c>
      <c r="M121" s="1" t="str">
        <f ca="1">IFERROR(__xludf.DUMMYFUNCTION("""COMPUTED_VALUE"""),"F45")</f>
        <v>F45</v>
      </c>
      <c r="N121" s="1" t="str">
        <f ca="1">IFERROR(__xludf.DUMMYFUNCTION("""COMPUTED_VALUE"""),"Orangegrove AC")</f>
        <v>Orangegrove AC</v>
      </c>
      <c r="O121" s="3">
        <f ca="1">IFERROR(__xludf.DUMMYFUNCTION("""COMPUTED_VALUE"""),0.0190509259259259)</f>
        <v>1.9050925925925902E-2</v>
      </c>
      <c r="P121" s="1" t="str">
        <f ca="1">IFERROR(__xludf.DUMMYFUNCTION("""COMPUTED_VALUE""")," ")</f>
        <v xml:space="preserve"> </v>
      </c>
      <c r="Q121" s="1" t="str">
        <f ca="1">IFERROR(__xludf.DUMMYFUNCTION("""COMPUTED_VALUE""")," ")</f>
        <v xml:space="preserve"> </v>
      </c>
      <c r="R121" s="1" t="str">
        <f ca="1">IFERROR(__xludf.DUMMYFUNCTION("""COMPUTED_VALUE""")," ")</f>
        <v xml:space="preserve"> </v>
      </c>
      <c r="S121" s="1" t="str">
        <f ca="1">IFERROR(__xludf.DUMMYFUNCTION("""COMPUTED_VALUE""")," ")</f>
        <v xml:space="preserve"> </v>
      </c>
      <c r="T121" s="1" t="str">
        <f ca="1">IFERROR(__xludf.DUMMYFUNCTION("""COMPUTED_VALUE""")," ")</f>
        <v xml:space="preserve"> </v>
      </c>
      <c r="U121" s="1">
        <f ca="1">IFERROR(__xludf.DUMMYFUNCTION("""COMPUTED_VALUE"""),119)</f>
        <v>119</v>
      </c>
      <c r="V121" s="1" t="str">
        <f ca="1">IFERROR(__xludf.DUMMYFUNCTION("""COMPUTED_VALUE"""),"John McGarvey")</f>
        <v>John McGarvey</v>
      </c>
      <c r="W121" s="1" t="str">
        <f ca="1">IFERROR(__xludf.DUMMYFUNCTION("""COMPUTED_VALUE"""),"M40")</f>
        <v>M40</v>
      </c>
      <c r="X121" s="1" t="str">
        <f ca="1">IFERROR(__xludf.DUMMYFUNCTION("""COMPUTED_VALUE"""),"North Down AC")</f>
        <v>North Down AC</v>
      </c>
      <c r="Y121" s="3">
        <f ca="1">IFERROR(__xludf.DUMMYFUNCTION("""COMPUTED_VALUE"""),0.0239814814814814)</f>
        <v>2.3981481481481399E-2</v>
      </c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</row>
    <row r="122" spans="1:62" x14ac:dyDescent="0.25">
      <c r="A122" s="1"/>
      <c r="B122" s="1"/>
      <c r="C122" s="1"/>
      <c r="D122" s="1"/>
      <c r="E122" s="1"/>
      <c r="F122" s="1" t="str">
        <f ca="1">IFERROR(__xludf.DUMMYFUNCTION("""COMPUTED_VALUE""")," ")</f>
        <v xml:space="preserve"> </v>
      </c>
      <c r="G122" s="1" t="str">
        <f ca="1">IFERROR(__xludf.DUMMYFUNCTION("""COMPUTED_VALUE""")," ")</f>
        <v xml:space="preserve"> </v>
      </c>
      <c r="H122" s="1" t="str">
        <f ca="1">IFERROR(__xludf.DUMMYFUNCTION("""COMPUTED_VALUE""")," ")</f>
        <v xml:space="preserve"> </v>
      </c>
      <c r="I122" s="1" t="str">
        <f ca="1">IFERROR(__xludf.DUMMYFUNCTION("""COMPUTED_VALUE""")," ")</f>
        <v xml:space="preserve"> </v>
      </c>
      <c r="J122" s="1" t="str">
        <f ca="1">IFERROR(__xludf.DUMMYFUNCTION("""COMPUTED_VALUE""")," ")</f>
        <v xml:space="preserve"> </v>
      </c>
      <c r="K122" s="1">
        <f ca="1">IFERROR(__xludf.DUMMYFUNCTION("""COMPUTED_VALUE"""),120)</f>
        <v>120</v>
      </c>
      <c r="L122" s="1" t="str">
        <f ca="1">IFERROR(__xludf.DUMMYFUNCTION("""COMPUTED_VALUE"""),"Alison Henderson")</f>
        <v>Alison Henderson</v>
      </c>
      <c r="M122" s="1" t="str">
        <f ca="1">IFERROR(__xludf.DUMMYFUNCTION("""COMPUTED_VALUE"""),"F60")</f>
        <v>F60</v>
      </c>
      <c r="N122" s="1" t="str">
        <f ca="1">IFERROR(__xludf.DUMMYFUNCTION("""COMPUTED_VALUE"""),"County Antrim Harriers")</f>
        <v>County Antrim Harriers</v>
      </c>
      <c r="O122" s="3">
        <f ca="1">IFERROR(__xludf.DUMMYFUNCTION("""COMPUTED_VALUE"""),0.0191666666666666)</f>
        <v>1.9166666666666599E-2</v>
      </c>
      <c r="P122" s="1" t="str">
        <f ca="1">IFERROR(__xludf.DUMMYFUNCTION("""COMPUTED_VALUE""")," ")</f>
        <v xml:space="preserve"> </v>
      </c>
      <c r="Q122" s="1" t="str">
        <f ca="1">IFERROR(__xludf.DUMMYFUNCTION("""COMPUTED_VALUE""")," ")</f>
        <v xml:space="preserve"> </v>
      </c>
      <c r="R122" s="1" t="str">
        <f ca="1">IFERROR(__xludf.DUMMYFUNCTION("""COMPUTED_VALUE""")," ")</f>
        <v xml:space="preserve"> </v>
      </c>
      <c r="S122" s="1" t="str">
        <f ca="1">IFERROR(__xludf.DUMMYFUNCTION("""COMPUTED_VALUE""")," ")</f>
        <v xml:space="preserve"> </v>
      </c>
      <c r="T122" s="1" t="str">
        <f ca="1">IFERROR(__xludf.DUMMYFUNCTION("""COMPUTED_VALUE""")," ")</f>
        <v xml:space="preserve"> </v>
      </c>
      <c r="U122" s="1">
        <f ca="1">IFERROR(__xludf.DUMMYFUNCTION("""COMPUTED_VALUE"""),120)</f>
        <v>120</v>
      </c>
      <c r="V122" s="1" t="str">
        <f ca="1">IFERROR(__xludf.DUMMYFUNCTION("""COMPUTED_VALUE"""),"Paul Magee")</f>
        <v>Paul Magee</v>
      </c>
      <c r="W122" s="1" t="str">
        <f ca="1">IFERROR(__xludf.DUMMYFUNCTION("""COMPUTED_VALUE"""),"M50")</f>
        <v>M50</v>
      </c>
      <c r="X122" s="1" t="str">
        <f ca="1">IFERROR(__xludf.DUMMYFUNCTION("""COMPUTED_VALUE"""),"Ballydrain Harriers")</f>
        <v>Ballydrain Harriers</v>
      </c>
      <c r="Y122" s="3">
        <f ca="1">IFERROR(__xludf.DUMMYFUNCTION("""COMPUTED_VALUE"""),0.0290625)</f>
        <v>2.9062500000000002E-2</v>
      </c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</row>
    <row r="123" spans="1:62" x14ac:dyDescent="0.25">
      <c r="A123" s="1"/>
      <c r="B123" s="1"/>
      <c r="C123" s="1"/>
      <c r="D123" s="1"/>
      <c r="E123" s="1"/>
      <c r="F123" s="1" t="str">
        <f ca="1">IFERROR(__xludf.DUMMYFUNCTION("""COMPUTED_VALUE""")," ")</f>
        <v xml:space="preserve"> </v>
      </c>
      <c r="G123" s="1"/>
      <c r="H123" s="1"/>
      <c r="I123" s="1"/>
      <c r="J123" s="1"/>
      <c r="K123" s="1">
        <f ca="1">IFERROR(__xludf.DUMMYFUNCTION("""COMPUTED_VALUE"""),121)</f>
        <v>121</v>
      </c>
      <c r="L123" s="1" t="str">
        <f ca="1">IFERROR(__xludf.DUMMYFUNCTION("""COMPUTED_VALUE"""),"Margaret Beattie")</f>
        <v>Margaret Beattie</v>
      </c>
      <c r="M123" s="1" t="str">
        <f ca="1">IFERROR(__xludf.DUMMYFUNCTION("""COMPUTED_VALUE"""),"F60")</f>
        <v>F60</v>
      </c>
      <c r="N123" s="1" t="str">
        <f ca="1">IFERROR(__xludf.DUMMYFUNCTION("""COMPUTED_VALUE"""),"County Antrim Harriers")</f>
        <v>County Antrim Harriers</v>
      </c>
      <c r="O123" s="3">
        <f ca="1">IFERROR(__xludf.DUMMYFUNCTION("""COMPUTED_VALUE"""),0.0193402777777777)</f>
        <v>1.9340277777777699E-2</v>
      </c>
      <c r="P123" s="1" t="str">
        <f ca="1">IFERROR(__xludf.DUMMYFUNCTION("""COMPUTED_VALUE""")," ")</f>
        <v xml:space="preserve"> </v>
      </c>
      <c r="Q123" s="1" t="str">
        <f ca="1">IFERROR(__xludf.DUMMYFUNCTION("""COMPUTED_VALUE""")," ")</f>
        <v xml:space="preserve"> </v>
      </c>
      <c r="R123" s="1" t="str">
        <f ca="1">IFERROR(__xludf.DUMMYFUNCTION("""COMPUTED_VALUE""")," ")</f>
        <v xml:space="preserve"> </v>
      </c>
      <c r="S123" s="1" t="str">
        <f ca="1">IFERROR(__xludf.DUMMYFUNCTION("""COMPUTED_VALUE""")," ")</f>
        <v xml:space="preserve"> </v>
      </c>
      <c r="T123" s="1" t="str">
        <f ca="1">IFERROR(__xludf.DUMMYFUNCTION("""COMPUTED_VALUE""")," ")</f>
        <v xml:space="preserve"> </v>
      </c>
      <c r="U123" s="1">
        <f ca="1">IFERROR(__xludf.DUMMYFUNCTION("""COMPUTED_VALUE"""),121)</f>
        <v>121</v>
      </c>
      <c r="V123" s="1" t="str">
        <f ca="1">IFERROR(__xludf.DUMMYFUNCTION("""COMPUTED_VALUE"""),"Robbie Speers")</f>
        <v>Robbie Speers</v>
      </c>
      <c r="W123" s="1" t="str">
        <f ca="1">IFERROR(__xludf.DUMMYFUNCTION("""COMPUTED_VALUE"""),"MO")</f>
        <v>MO</v>
      </c>
      <c r="X123" s="1" t="str">
        <f ca="1">IFERROR(__xludf.DUMMYFUNCTION("""COMPUTED_VALUE"""),"North Belfast Harriers")</f>
        <v>North Belfast Harriers</v>
      </c>
      <c r="Y123" s="3">
        <f ca="1">IFERROR(__xludf.DUMMYFUNCTION("""COMPUTED_VALUE"""),0.0293287037037037)</f>
        <v>2.9328703703703701E-2</v>
      </c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</row>
    <row r="124" spans="1:62" x14ac:dyDescent="0.25">
      <c r="A124" s="1"/>
      <c r="B124" s="1"/>
      <c r="C124" s="1"/>
      <c r="D124" s="1"/>
      <c r="E124" s="1"/>
      <c r="F124" s="1" t="str">
        <f ca="1">IFERROR(__xludf.DUMMYFUNCTION("""COMPUTED_VALUE""")," ")</f>
        <v xml:space="preserve"> </v>
      </c>
      <c r="G124" s="1"/>
      <c r="H124" s="1"/>
      <c r="I124" s="1"/>
      <c r="J124" s="1"/>
      <c r="K124" s="1">
        <f ca="1">IFERROR(__xludf.DUMMYFUNCTION("""COMPUTED_VALUE"""),122)</f>
        <v>122</v>
      </c>
      <c r="L124" s="1" t="str">
        <f ca="1">IFERROR(__xludf.DUMMYFUNCTION("""COMPUTED_VALUE"""),"Tara Findlay")</f>
        <v>Tara Findlay</v>
      </c>
      <c r="M124" s="1" t="str">
        <f ca="1">IFERROR(__xludf.DUMMYFUNCTION("""COMPUTED_VALUE"""),"FO")</f>
        <v>FO</v>
      </c>
      <c r="N124" s="1" t="str">
        <f ca="1">IFERROR(__xludf.DUMMYFUNCTION("""COMPUTED_VALUE"""),"East Down AC")</f>
        <v>East Down AC</v>
      </c>
      <c r="O124" s="3">
        <f ca="1">IFERROR(__xludf.DUMMYFUNCTION("""COMPUTED_VALUE"""),0.019386574074074)</f>
        <v>1.9386574074074001E-2</v>
      </c>
      <c r="P124" s="1" t="str">
        <f ca="1">IFERROR(__xludf.DUMMYFUNCTION("""COMPUTED_VALUE""")," ")</f>
        <v xml:space="preserve"> </v>
      </c>
      <c r="Q124" s="1" t="str">
        <f ca="1">IFERROR(__xludf.DUMMYFUNCTION("""COMPUTED_VALUE""")," ")</f>
        <v xml:space="preserve"> </v>
      </c>
      <c r="R124" s="1" t="str">
        <f ca="1">IFERROR(__xludf.DUMMYFUNCTION("""COMPUTED_VALUE""")," ")</f>
        <v xml:space="preserve"> </v>
      </c>
      <c r="S124" s="1" t="str">
        <f ca="1">IFERROR(__xludf.DUMMYFUNCTION("""COMPUTED_VALUE""")," ")</f>
        <v xml:space="preserve"> </v>
      </c>
      <c r="T124" s="1" t="str">
        <f ca="1">IFERROR(__xludf.DUMMYFUNCTION("""COMPUTED_VALUE""")," ")</f>
        <v xml:space="preserve"> </v>
      </c>
      <c r="U124" s="1" t="str">
        <f ca="1">IFERROR(__xludf.DUMMYFUNCTION("""COMPUTED_VALUE""")," ")</f>
        <v xml:space="preserve"> </v>
      </c>
      <c r="V124" s="1" t="str">
        <f ca="1">IFERROR(__xludf.DUMMYFUNCTION("""COMPUTED_VALUE""")," ")</f>
        <v xml:space="preserve"> </v>
      </c>
      <c r="W124" s="1" t="str">
        <f ca="1">IFERROR(__xludf.DUMMYFUNCTION("""COMPUTED_VALUE""")," ")</f>
        <v xml:space="preserve"> </v>
      </c>
      <c r="X124" s="1" t="str">
        <f ca="1">IFERROR(__xludf.DUMMYFUNCTION("""COMPUTED_VALUE""")," ")</f>
        <v xml:space="preserve"> </v>
      </c>
      <c r="Y124" s="1" t="str">
        <f ca="1">IFERROR(__xludf.DUMMYFUNCTION("""COMPUTED_VALUE""")," ")</f>
        <v xml:space="preserve"> </v>
      </c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</row>
    <row r="125" spans="1:62" x14ac:dyDescent="0.25">
      <c r="A125" s="1"/>
      <c r="B125" s="1"/>
      <c r="C125" s="1"/>
      <c r="D125" s="1"/>
      <c r="E125" s="1"/>
      <c r="F125" s="1" t="str">
        <f ca="1">IFERROR(__xludf.DUMMYFUNCTION("""COMPUTED_VALUE""")," ")</f>
        <v xml:space="preserve"> </v>
      </c>
      <c r="G125" s="1"/>
      <c r="H125" s="1"/>
      <c r="I125" s="1"/>
      <c r="J125" s="1"/>
      <c r="K125" s="1">
        <f ca="1">IFERROR(__xludf.DUMMYFUNCTION("""COMPUTED_VALUE"""),123)</f>
        <v>123</v>
      </c>
      <c r="L125" s="1" t="str">
        <f ca="1">IFERROR(__xludf.DUMMYFUNCTION("""COMPUTED_VALUE"""),"Elaine Bates")</f>
        <v>Elaine Bates</v>
      </c>
      <c r="M125" s="1" t="str">
        <f ca="1">IFERROR(__xludf.DUMMYFUNCTION("""COMPUTED_VALUE"""),"F55")</f>
        <v>F55</v>
      </c>
      <c r="N125" s="1" t="str">
        <f ca="1">IFERROR(__xludf.DUMMYFUNCTION("""COMPUTED_VALUE"""),"Orangegrove AC")</f>
        <v>Orangegrove AC</v>
      </c>
      <c r="O125" s="3">
        <f ca="1">IFERROR(__xludf.DUMMYFUNCTION("""COMPUTED_VALUE"""),0.0195601851851851)</f>
        <v>1.9560185185185101E-2</v>
      </c>
      <c r="P125" s="1" t="str">
        <f ca="1">IFERROR(__xludf.DUMMYFUNCTION("""COMPUTED_VALUE""")," ")</f>
        <v xml:space="preserve"> </v>
      </c>
      <c r="Q125" s="1" t="str">
        <f ca="1">IFERROR(__xludf.DUMMYFUNCTION("""COMPUTED_VALUE""")," ")</f>
        <v xml:space="preserve"> </v>
      </c>
      <c r="R125" s="1" t="str">
        <f ca="1">IFERROR(__xludf.DUMMYFUNCTION("""COMPUTED_VALUE""")," ")</f>
        <v xml:space="preserve"> </v>
      </c>
      <c r="S125" s="1" t="str">
        <f ca="1">IFERROR(__xludf.DUMMYFUNCTION("""COMPUTED_VALUE""")," ")</f>
        <v xml:space="preserve"> </v>
      </c>
      <c r="T125" s="1" t="str">
        <f ca="1">IFERROR(__xludf.DUMMYFUNCTION("""COMPUTED_VALUE""")," ")</f>
        <v xml:space="preserve"> </v>
      </c>
      <c r="U125" s="1" t="str">
        <f ca="1">IFERROR(__xludf.DUMMYFUNCTION("""COMPUTED_VALUE""")," ")</f>
        <v xml:space="preserve"> </v>
      </c>
      <c r="V125" s="1" t="str">
        <f ca="1">IFERROR(__xludf.DUMMYFUNCTION("""COMPUTED_VALUE""")," ")</f>
        <v xml:space="preserve"> </v>
      </c>
      <c r="W125" s="1" t="str">
        <f ca="1">IFERROR(__xludf.DUMMYFUNCTION("""COMPUTED_VALUE""")," ")</f>
        <v xml:space="preserve"> </v>
      </c>
      <c r="X125" s="1" t="str">
        <f ca="1">IFERROR(__xludf.DUMMYFUNCTION("""COMPUTED_VALUE""")," ")</f>
        <v xml:space="preserve"> </v>
      </c>
      <c r="Y125" s="1" t="str">
        <f ca="1">IFERROR(__xludf.DUMMYFUNCTION("""COMPUTED_VALUE""")," ")</f>
        <v xml:space="preserve"> </v>
      </c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</row>
    <row r="126" spans="1:62" x14ac:dyDescent="0.25">
      <c r="A126" s="1"/>
      <c r="B126" s="1"/>
      <c r="C126" s="1"/>
      <c r="D126" s="1"/>
      <c r="E126" s="1"/>
      <c r="F126" s="1" t="str">
        <f ca="1">IFERROR(__xludf.DUMMYFUNCTION("""COMPUTED_VALUE""")," ")</f>
        <v xml:space="preserve"> </v>
      </c>
      <c r="G126" s="1"/>
      <c r="H126" s="1"/>
      <c r="I126" s="1"/>
      <c r="J126" s="1"/>
      <c r="K126" s="1">
        <f ca="1">IFERROR(__xludf.DUMMYFUNCTION("""COMPUTED_VALUE"""),124)</f>
        <v>124</v>
      </c>
      <c r="L126" s="1" t="str">
        <f ca="1">IFERROR(__xludf.DUMMYFUNCTION("""COMPUTED_VALUE"""),"Christina Crilly")</f>
        <v>Christina Crilly</v>
      </c>
      <c r="M126" s="1" t="str">
        <f ca="1">IFERROR(__xludf.DUMMYFUNCTION("""COMPUTED_VALUE"""),"F40")</f>
        <v>F40</v>
      </c>
      <c r="N126" s="1" t="str">
        <f ca="1">IFERROR(__xludf.DUMMYFUNCTION("""COMPUTED_VALUE"""),"Armagh AC")</f>
        <v>Armagh AC</v>
      </c>
      <c r="O126" s="3">
        <f ca="1">IFERROR(__xludf.DUMMYFUNCTION("""COMPUTED_VALUE"""),0.0196527777777777)</f>
        <v>1.96527777777777E-2</v>
      </c>
      <c r="P126" s="1" t="str">
        <f ca="1">IFERROR(__xludf.DUMMYFUNCTION("""COMPUTED_VALUE""")," ")</f>
        <v xml:space="preserve"> </v>
      </c>
      <c r="Q126" s="1" t="str">
        <f ca="1">IFERROR(__xludf.DUMMYFUNCTION("""COMPUTED_VALUE""")," ")</f>
        <v xml:space="preserve"> </v>
      </c>
      <c r="R126" s="1" t="str">
        <f ca="1">IFERROR(__xludf.DUMMYFUNCTION("""COMPUTED_VALUE""")," ")</f>
        <v xml:space="preserve"> </v>
      </c>
      <c r="S126" s="1" t="str">
        <f ca="1">IFERROR(__xludf.DUMMYFUNCTION("""COMPUTED_VALUE""")," ")</f>
        <v xml:space="preserve"> </v>
      </c>
      <c r="T126" s="1" t="str">
        <f ca="1">IFERROR(__xludf.DUMMYFUNCTION("""COMPUTED_VALUE""")," ")</f>
        <v xml:space="preserve"> </v>
      </c>
      <c r="U126" s="1" t="str">
        <f ca="1">IFERROR(__xludf.DUMMYFUNCTION("""COMPUTED_VALUE""")," ")</f>
        <v xml:space="preserve"> </v>
      </c>
      <c r="V126" s="1" t="str">
        <f ca="1">IFERROR(__xludf.DUMMYFUNCTION("""COMPUTED_VALUE""")," ")</f>
        <v xml:space="preserve"> </v>
      </c>
      <c r="W126" s="1" t="str">
        <f ca="1">IFERROR(__xludf.DUMMYFUNCTION("""COMPUTED_VALUE""")," ")</f>
        <v xml:space="preserve"> </v>
      </c>
      <c r="X126" s="1" t="str">
        <f ca="1">IFERROR(__xludf.DUMMYFUNCTION("""COMPUTED_VALUE""")," ")</f>
        <v xml:space="preserve"> </v>
      </c>
      <c r="Y126" s="1" t="str">
        <f ca="1">IFERROR(__xludf.DUMMYFUNCTION("""COMPUTED_VALUE""")," ")</f>
        <v xml:space="preserve"> </v>
      </c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</row>
    <row r="127" spans="1:62" x14ac:dyDescent="0.25">
      <c r="A127" s="1"/>
      <c r="B127" s="1"/>
      <c r="C127" s="1"/>
      <c r="D127" s="1"/>
      <c r="E127" s="1"/>
      <c r="F127" s="1" t="str">
        <f ca="1">IFERROR(__xludf.DUMMYFUNCTION("""COMPUTED_VALUE""")," ")</f>
        <v xml:space="preserve"> </v>
      </c>
      <c r="G127" s="1"/>
      <c r="H127" s="1"/>
      <c r="I127" s="1"/>
      <c r="J127" s="1"/>
      <c r="K127" s="1">
        <f ca="1">IFERROR(__xludf.DUMMYFUNCTION("""COMPUTED_VALUE"""),125)</f>
        <v>125</v>
      </c>
      <c r="L127" s="1" t="str">
        <f ca="1">IFERROR(__xludf.DUMMYFUNCTION("""COMPUTED_VALUE"""),"Clare McLogan")</f>
        <v>Clare McLogan</v>
      </c>
      <c r="M127" s="1" t="str">
        <f ca="1">IFERROR(__xludf.DUMMYFUNCTION("""COMPUTED_VALUE"""),"F35")</f>
        <v>F35</v>
      </c>
      <c r="N127" s="1" t="str">
        <f ca="1">IFERROR(__xludf.DUMMYFUNCTION("""COMPUTED_VALUE"""),"Willowfield Harriers")</f>
        <v>Willowfield Harriers</v>
      </c>
      <c r="O127" s="3">
        <f ca="1">IFERROR(__xludf.DUMMYFUNCTION("""COMPUTED_VALUE"""),0.0197222222222222)</f>
        <v>1.97222222222222E-2</v>
      </c>
      <c r="P127" s="1" t="str">
        <f ca="1">IFERROR(__xludf.DUMMYFUNCTION("""COMPUTED_VALUE""")," ")</f>
        <v xml:space="preserve"> </v>
      </c>
      <c r="Q127" s="1" t="str">
        <f ca="1">IFERROR(__xludf.DUMMYFUNCTION("""COMPUTED_VALUE""")," ")</f>
        <v xml:space="preserve"> </v>
      </c>
      <c r="R127" s="1" t="str">
        <f ca="1">IFERROR(__xludf.DUMMYFUNCTION("""COMPUTED_VALUE""")," ")</f>
        <v xml:space="preserve"> </v>
      </c>
      <c r="S127" s="1" t="str">
        <f ca="1">IFERROR(__xludf.DUMMYFUNCTION("""COMPUTED_VALUE""")," ")</f>
        <v xml:space="preserve"> </v>
      </c>
      <c r="T127" s="1" t="str">
        <f ca="1">IFERROR(__xludf.DUMMYFUNCTION("""COMPUTED_VALUE""")," ")</f>
        <v xml:space="preserve"> </v>
      </c>
      <c r="U127" s="1" t="str">
        <f ca="1">IFERROR(__xludf.DUMMYFUNCTION("""COMPUTED_VALUE""")," ")</f>
        <v xml:space="preserve"> </v>
      </c>
      <c r="V127" s="1" t="str">
        <f ca="1">IFERROR(__xludf.DUMMYFUNCTION("""COMPUTED_VALUE""")," ")</f>
        <v xml:space="preserve"> </v>
      </c>
      <c r="W127" s="1" t="str">
        <f ca="1">IFERROR(__xludf.DUMMYFUNCTION("""COMPUTED_VALUE""")," ")</f>
        <v xml:space="preserve"> </v>
      </c>
      <c r="X127" s="1" t="str">
        <f ca="1">IFERROR(__xludf.DUMMYFUNCTION("""COMPUTED_VALUE""")," ")</f>
        <v xml:space="preserve"> </v>
      </c>
      <c r="Y127" s="1" t="str">
        <f ca="1">IFERROR(__xludf.DUMMYFUNCTION("""COMPUTED_VALUE""")," ")</f>
        <v xml:space="preserve"> </v>
      </c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</row>
    <row r="128" spans="1:62" x14ac:dyDescent="0.25">
      <c r="A128" s="1"/>
      <c r="B128" s="1"/>
      <c r="C128" s="1"/>
      <c r="D128" s="1"/>
      <c r="E128" s="1"/>
      <c r="F128" s="1" t="str">
        <f ca="1">IFERROR(__xludf.DUMMYFUNCTION("""COMPUTED_VALUE""")," ")</f>
        <v xml:space="preserve"> </v>
      </c>
      <c r="G128" s="1"/>
      <c r="H128" s="1"/>
      <c r="I128" s="1"/>
      <c r="J128" s="1"/>
      <c r="K128" s="1">
        <f ca="1">IFERROR(__xludf.DUMMYFUNCTION("""COMPUTED_VALUE"""),126)</f>
        <v>126</v>
      </c>
      <c r="L128" s="1" t="str">
        <f ca="1">IFERROR(__xludf.DUMMYFUNCTION("""COMPUTED_VALUE"""),"Catherine McIntyre")</f>
        <v>Catherine McIntyre</v>
      </c>
      <c r="M128" s="1" t="str">
        <f ca="1">IFERROR(__xludf.DUMMYFUNCTION("""COMPUTED_VALUE"""),"FO")</f>
        <v>FO</v>
      </c>
      <c r="N128" s="1" t="str">
        <f ca="1">IFERROR(__xludf.DUMMYFUNCTION("""COMPUTED_VALUE"""),"Orangegrove AC")</f>
        <v>Orangegrove AC</v>
      </c>
      <c r="O128" s="3">
        <f ca="1">IFERROR(__xludf.DUMMYFUNCTION("""COMPUTED_VALUE"""),0.0197337962962962)</f>
        <v>1.9733796296296201E-2</v>
      </c>
      <c r="P128" s="1" t="str">
        <f ca="1">IFERROR(__xludf.DUMMYFUNCTION("""COMPUTED_VALUE""")," ")</f>
        <v xml:space="preserve"> </v>
      </c>
      <c r="Q128" s="1" t="str">
        <f ca="1">IFERROR(__xludf.DUMMYFUNCTION("""COMPUTED_VALUE""")," ")</f>
        <v xml:space="preserve"> </v>
      </c>
      <c r="R128" s="1" t="str">
        <f ca="1">IFERROR(__xludf.DUMMYFUNCTION("""COMPUTED_VALUE""")," ")</f>
        <v xml:space="preserve"> </v>
      </c>
      <c r="S128" s="1" t="str">
        <f ca="1">IFERROR(__xludf.DUMMYFUNCTION("""COMPUTED_VALUE""")," ")</f>
        <v xml:space="preserve"> </v>
      </c>
      <c r="T128" s="1"/>
      <c r="U128" s="1" t="str">
        <f ca="1">IFERROR(__xludf.DUMMYFUNCTION("""COMPUTED_VALUE""")," ")</f>
        <v xml:space="preserve"> </v>
      </c>
      <c r="V128" s="1" t="str">
        <f ca="1">IFERROR(__xludf.DUMMYFUNCTION("""COMPUTED_VALUE""")," ")</f>
        <v xml:space="preserve"> </v>
      </c>
      <c r="W128" s="1" t="str">
        <f ca="1">IFERROR(__xludf.DUMMYFUNCTION("""COMPUTED_VALUE""")," ")</f>
        <v xml:space="preserve"> </v>
      </c>
      <c r="X128" s="1" t="str">
        <f ca="1">IFERROR(__xludf.DUMMYFUNCTION("""COMPUTED_VALUE""")," ")</f>
        <v xml:space="preserve"> </v>
      </c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</row>
    <row r="129" spans="1:62" x14ac:dyDescent="0.25">
      <c r="A129" s="1"/>
      <c r="B129" s="1"/>
      <c r="C129" s="1"/>
      <c r="D129" s="1"/>
      <c r="E129" s="1"/>
      <c r="F129" s="1" t="str">
        <f ca="1">IFERROR(__xludf.DUMMYFUNCTION("""COMPUTED_VALUE""")," ")</f>
        <v xml:space="preserve"> </v>
      </c>
      <c r="G129" s="1"/>
      <c r="H129" s="1"/>
      <c r="I129" s="1"/>
      <c r="J129" s="1"/>
      <c r="K129" s="1">
        <f ca="1">IFERROR(__xludf.DUMMYFUNCTION("""COMPUTED_VALUE"""),127)</f>
        <v>127</v>
      </c>
      <c r="L129" s="1" t="str">
        <f ca="1">IFERROR(__xludf.DUMMYFUNCTION("""COMPUTED_VALUE"""),"Jane Holland")</f>
        <v>Jane Holland</v>
      </c>
      <c r="M129" s="1" t="str">
        <f ca="1">IFERROR(__xludf.DUMMYFUNCTION("""COMPUTED_VALUE"""),"F50")</f>
        <v>F50</v>
      </c>
      <c r="N129" s="1" t="str">
        <f ca="1">IFERROR(__xludf.DUMMYFUNCTION("""COMPUTED_VALUE"""),"Ballydrain Harriers")</f>
        <v>Ballydrain Harriers</v>
      </c>
      <c r="O129" s="3">
        <f ca="1">IFERROR(__xludf.DUMMYFUNCTION("""COMPUTED_VALUE"""),0.0197453703703703)</f>
        <v>1.9745370370370299E-2</v>
      </c>
      <c r="P129" s="1"/>
      <c r="Q129" s="1"/>
      <c r="R129" s="1"/>
      <c r="S129" s="1"/>
      <c r="T129" s="1"/>
      <c r="U129" s="1" t="str">
        <f ca="1">IFERROR(__xludf.DUMMYFUNCTION("""COMPUTED_VALUE""")," ")</f>
        <v xml:space="preserve"> </v>
      </c>
      <c r="V129" s="1" t="str">
        <f ca="1">IFERROR(__xludf.DUMMYFUNCTION("""COMPUTED_VALUE""")," ")</f>
        <v xml:space="preserve"> </v>
      </c>
      <c r="W129" s="1" t="str">
        <f ca="1">IFERROR(__xludf.DUMMYFUNCTION("""COMPUTED_VALUE""")," ")</f>
        <v xml:space="preserve"> </v>
      </c>
      <c r="X129" s="1" t="str">
        <f ca="1">IFERROR(__xludf.DUMMYFUNCTION("""COMPUTED_VALUE""")," ")</f>
        <v xml:space="preserve"> </v>
      </c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</row>
    <row r="130" spans="1:62" x14ac:dyDescent="0.25">
      <c r="A130" s="1"/>
      <c r="B130" s="1"/>
      <c r="C130" s="1"/>
      <c r="D130" s="1"/>
      <c r="E130" s="1"/>
      <c r="F130" s="1" t="str">
        <f ca="1">IFERROR(__xludf.DUMMYFUNCTION("""COMPUTED_VALUE""")," ")</f>
        <v xml:space="preserve"> </v>
      </c>
      <c r="G130" s="1"/>
      <c r="H130" s="1"/>
      <c r="I130" s="1"/>
      <c r="J130" s="1"/>
      <c r="K130" s="1">
        <f ca="1">IFERROR(__xludf.DUMMYFUNCTION("""COMPUTED_VALUE"""),128)</f>
        <v>128</v>
      </c>
      <c r="L130" s="1" t="str">
        <f ca="1">IFERROR(__xludf.DUMMYFUNCTION("""COMPUTED_VALUE"""),"Wendy Purdon")</f>
        <v>Wendy Purdon</v>
      </c>
      <c r="M130" s="1" t="str">
        <f ca="1">IFERROR(__xludf.DUMMYFUNCTION("""COMPUTED_VALUE"""),"F50")</f>
        <v>F50</v>
      </c>
      <c r="N130" s="1" t="str">
        <f ca="1">IFERROR(__xludf.DUMMYFUNCTION("""COMPUTED_VALUE"""),"Ballydrain Harriers")</f>
        <v>Ballydrain Harriers</v>
      </c>
      <c r="O130" s="3">
        <f ca="1">IFERROR(__xludf.DUMMYFUNCTION("""COMPUTED_VALUE"""),0.0197569444444444)</f>
        <v>1.97569444444444E-2</v>
      </c>
      <c r="P130" s="1"/>
      <c r="Q130" s="1"/>
      <c r="R130" s="1"/>
      <c r="S130" s="1"/>
      <c r="T130" s="1"/>
      <c r="U130" s="1" t="str">
        <f ca="1">IFERROR(__xludf.DUMMYFUNCTION("""COMPUTED_VALUE""")," ")</f>
        <v xml:space="preserve"> </v>
      </c>
      <c r="V130" s="1" t="str">
        <f ca="1">IFERROR(__xludf.DUMMYFUNCTION("""COMPUTED_VALUE""")," ")</f>
        <v xml:space="preserve"> </v>
      </c>
      <c r="W130" s="1" t="str">
        <f ca="1">IFERROR(__xludf.DUMMYFUNCTION("""COMPUTED_VALUE""")," ")</f>
        <v xml:space="preserve"> </v>
      </c>
      <c r="X130" s="1" t="str">
        <f ca="1">IFERROR(__xludf.DUMMYFUNCTION("""COMPUTED_VALUE""")," ")</f>
        <v xml:space="preserve"> </v>
      </c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</row>
    <row r="131" spans="1:62" x14ac:dyDescent="0.25">
      <c r="A131" s="1"/>
      <c r="B131" s="1"/>
      <c r="C131" s="1"/>
      <c r="D131" s="1"/>
      <c r="E131" s="1"/>
      <c r="F131" s="1" t="str">
        <f ca="1">IFERROR(__xludf.DUMMYFUNCTION("""COMPUTED_VALUE""")," ")</f>
        <v xml:space="preserve"> </v>
      </c>
      <c r="G131" s="1"/>
      <c r="H131" s="1"/>
      <c r="I131" s="1"/>
      <c r="J131" s="1"/>
      <c r="K131" s="1">
        <f ca="1">IFERROR(__xludf.DUMMYFUNCTION("""COMPUTED_VALUE"""),129)</f>
        <v>129</v>
      </c>
      <c r="L131" s="1" t="str">
        <f ca="1">IFERROR(__xludf.DUMMYFUNCTION("""COMPUTED_VALUE"""),"Brigid Quinn")</f>
        <v>Brigid Quinn</v>
      </c>
      <c r="M131" s="1" t="str">
        <f ca="1">IFERROR(__xludf.DUMMYFUNCTION("""COMPUTED_VALUE"""),"F75")</f>
        <v>F75</v>
      </c>
      <c r="N131" s="1" t="str">
        <f ca="1">IFERROR(__xludf.DUMMYFUNCTION("""COMPUTED_VALUE"""),"Ballymena Runners")</f>
        <v>Ballymena Runners</v>
      </c>
      <c r="O131" s="3">
        <f ca="1">IFERROR(__xludf.DUMMYFUNCTION("""COMPUTED_VALUE"""),0.0204629629629629)</f>
        <v>2.0462962962962902E-2</v>
      </c>
      <c r="P131" s="1"/>
      <c r="Q131" s="1"/>
      <c r="R131" s="1"/>
      <c r="S131" s="1"/>
      <c r="T131" s="1"/>
      <c r="U131" s="1" t="str">
        <f ca="1">IFERROR(__xludf.DUMMYFUNCTION("""COMPUTED_VALUE""")," ")</f>
        <v xml:space="preserve"> </v>
      </c>
      <c r="V131" s="1" t="str">
        <f ca="1">IFERROR(__xludf.DUMMYFUNCTION("""COMPUTED_VALUE""")," ")</f>
        <v xml:space="preserve"> </v>
      </c>
      <c r="W131" s="1" t="str">
        <f ca="1">IFERROR(__xludf.DUMMYFUNCTION("""COMPUTED_VALUE""")," ")</f>
        <v xml:space="preserve"> </v>
      </c>
      <c r="X131" s="1" t="str">
        <f ca="1">IFERROR(__xludf.DUMMYFUNCTION("""COMPUTED_VALUE""")," ")</f>
        <v xml:space="preserve"> </v>
      </c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</row>
    <row r="132" spans="1:62" x14ac:dyDescent="0.25">
      <c r="A132" s="1"/>
      <c r="B132" s="1"/>
      <c r="C132" s="1"/>
      <c r="D132" s="1"/>
      <c r="E132" s="1"/>
      <c r="F132" s="1" t="str">
        <f ca="1">IFERROR(__xludf.DUMMYFUNCTION("""COMPUTED_VALUE""")," ")</f>
        <v xml:space="preserve"> </v>
      </c>
      <c r="G132" s="1"/>
      <c r="H132" s="1"/>
      <c r="I132" s="1"/>
      <c r="J132" s="1"/>
      <c r="K132" s="1">
        <f ca="1">IFERROR(__xludf.DUMMYFUNCTION("""COMPUTED_VALUE"""),130)</f>
        <v>130</v>
      </c>
      <c r="L132" s="1" t="str">
        <f ca="1">IFERROR(__xludf.DUMMYFUNCTION("""COMPUTED_VALUE"""),"Janice Scott")</f>
        <v>Janice Scott</v>
      </c>
      <c r="M132" s="1" t="str">
        <f ca="1">IFERROR(__xludf.DUMMYFUNCTION("""COMPUTED_VALUE"""),"F40")</f>
        <v>F40</v>
      </c>
      <c r="N132" s="1" t="str">
        <f ca="1">IFERROR(__xludf.DUMMYFUNCTION("""COMPUTED_VALUE"""),"Scrabo Striders")</f>
        <v>Scrabo Striders</v>
      </c>
      <c r="O132" s="3">
        <f ca="1">IFERROR(__xludf.DUMMYFUNCTION("""COMPUTED_VALUE"""),0.020625)</f>
        <v>2.0625000000000001E-2</v>
      </c>
      <c r="P132" s="1"/>
      <c r="Q132" s="1"/>
      <c r="R132" s="1"/>
      <c r="S132" s="1"/>
      <c r="T132" s="1"/>
      <c r="U132" s="1" t="str">
        <f ca="1">IFERROR(__xludf.DUMMYFUNCTION("""COMPUTED_VALUE""")," ")</f>
        <v xml:space="preserve"> </v>
      </c>
      <c r="V132" s="1" t="str">
        <f ca="1">IFERROR(__xludf.DUMMYFUNCTION("""COMPUTED_VALUE""")," ")</f>
        <v xml:space="preserve"> </v>
      </c>
      <c r="W132" s="1" t="str">
        <f ca="1">IFERROR(__xludf.DUMMYFUNCTION("""COMPUTED_VALUE""")," ")</f>
        <v xml:space="preserve"> </v>
      </c>
      <c r="X132" s="1" t="str">
        <f ca="1">IFERROR(__xludf.DUMMYFUNCTION("""COMPUTED_VALUE""")," ")</f>
        <v xml:space="preserve"> </v>
      </c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</row>
    <row r="133" spans="1:62" x14ac:dyDescent="0.25">
      <c r="A133" s="1"/>
      <c r="B133" s="1"/>
      <c r="C133" s="1"/>
      <c r="D133" s="1"/>
      <c r="E133" s="1"/>
      <c r="F133" s="1" t="str">
        <f ca="1">IFERROR(__xludf.DUMMYFUNCTION("""COMPUTED_VALUE""")," ")</f>
        <v xml:space="preserve"> </v>
      </c>
      <c r="G133" s="1"/>
      <c r="H133" s="1"/>
      <c r="I133" s="1"/>
      <c r="J133" s="1"/>
      <c r="K133" s="1">
        <f ca="1">IFERROR(__xludf.DUMMYFUNCTION("""COMPUTED_VALUE"""),131)</f>
        <v>131</v>
      </c>
      <c r="L133" s="1" t="str">
        <f ca="1">IFERROR(__xludf.DUMMYFUNCTION("""COMPUTED_VALUE"""),"Wendy Forsythe")</f>
        <v>Wendy Forsythe</v>
      </c>
      <c r="M133" s="1" t="str">
        <f ca="1">IFERROR(__xludf.DUMMYFUNCTION("""COMPUTED_VALUE"""),"F70")</f>
        <v>F70</v>
      </c>
      <c r="N133" s="1" t="str">
        <f ca="1">IFERROR(__xludf.DUMMYFUNCTION("""COMPUTED_VALUE"""),"County Antrim Harriers")</f>
        <v>County Antrim Harriers</v>
      </c>
      <c r="O133" s="3">
        <f ca="1">IFERROR(__xludf.DUMMYFUNCTION("""COMPUTED_VALUE"""),0.0215162037037037)</f>
        <v>2.1516203703703701E-2</v>
      </c>
      <c r="P133" s="1"/>
      <c r="Q133" s="1"/>
      <c r="R133" s="1"/>
      <c r="S133" s="1"/>
      <c r="T133" s="1"/>
      <c r="U133" s="1" t="str">
        <f ca="1">IFERROR(__xludf.DUMMYFUNCTION("""COMPUTED_VALUE""")," ")</f>
        <v xml:space="preserve"> </v>
      </c>
      <c r="V133" s="1" t="str">
        <f ca="1">IFERROR(__xludf.DUMMYFUNCTION("""COMPUTED_VALUE""")," ")</f>
        <v xml:space="preserve"> </v>
      </c>
      <c r="W133" s="1" t="str">
        <f ca="1">IFERROR(__xludf.DUMMYFUNCTION("""COMPUTED_VALUE""")," ")</f>
        <v xml:space="preserve"> </v>
      </c>
      <c r="X133" s="1" t="str">
        <f ca="1">IFERROR(__xludf.DUMMYFUNCTION("""COMPUTED_VALUE""")," ")</f>
        <v xml:space="preserve"> </v>
      </c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</row>
    <row r="134" spans="1:62" x14ac:dyDescent="0.25">
      <c r="A134" s="1"/>
      <c r="B134" s="1"/>
      <c r="C134" s="1"/>
      <c r="D134" s="1"/>
      <c r="E134" s="1"/>
      <c r="F134" s="1" t="str">
        <f ca="1">IFERROR(__xludf.DUMMYFUNCTION("""COMPUTED_VALUE""")," ")</f>
        <v xml:space="preserve"> </v>
      </c>
      <c r="G134" s="1"/>
      <c r="H134" s="1"/>
      <c r="I134" s="1"/>
      <c r="J134" s="1"/>
      <c r="K134" s="1">
        <f ca="1">IFERROR(__xludf.DUMMYFUNCTION("""COMPUTED_VALUE"""),132)</f>
        <v>132</v>
      </c>
      <c r="L134" s="1" t="str">
        <f ca="1">IFERROR(__xludf.DUMMYFUNCTION("""COMPUTED_VALUE"""),"Philomena Donaldson")</f>
        <v>Philomena Donaldson</v>
      </c>
      <c r="M134" s="1" t="str">
        <f ca="1">IFERROR(__xludf.DUMMYFUNCTION("""COMPUTED_VALUE"""),"F60")</f>
        <v>F60</v>
      </c>
      <c r="N134" s="1" t="str">
        <f ca="1">IFERROR(__xludf.DUMMYFUNCTION("""COMPUTED_VALUE"""),"North Belfast Harriers")</f>
        <v>North Belfast Harriers</v>
      </c>
      <c r="O134" s="3">
        <f ca="1">IFERROR(__xludf.DUMMYFUNCTION("""COMPUTED_VALUE"""),0.0215509259259259)</f>
        <v>2.15509259259259E-2</v>
      </c>
      <c r="P134" s="1"/>
      <c r="Q134" s="1"/>
      <c r="R134" s="1"/>
      <c r="S134" s="1"/>
      <c r="T134" s="1"/>
      <c r="U134" s="1" t="str">
        <f ca="1">IFERROR(__xludf.DUMMYFUNCTION("""COMPUTED_VALUE""")," ")</f>
        <v xml:space="preserve"> </v>
      </c>
      <c r="V134" s="1" t="str">
        <f ca="1">IFERROR(__xludf.DUMMYFUNCTION("""COMPUTED_VALUE""")," ")</f>
        <v xml:space="preserve"> </v>
      </c>
      <c r="W134" s="1" t="str">
        <f ca="1">IFERROR(__xludf.DUMMYFUNCTION("""COMPUTED_VALUE""")," ")</f>
        <v xml:space="preserve"> </v>
      </c>
      <c r="X134" s="1" t="str">
        <f ca="1">IFERROR(__xludf.DUMMYFUNCTION("""COMPUTED_VALUE""")," ")</f>
        <v xml:space="preserve"> </v>
      </c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</row>
    <row r="135" spans="1:62" x14ac:dyDescent="0.25">
      <c r="A135" s="1"/>
      <c r="B135" s="1"/>
      <c r="C135" s="1"/>
      <c r="D135" s="1"/>
      <c r="E135" s="1"/>
      <c r="F135" s="1" t="str">
        <f ca="1">IFERROR(__xludf.DUMMYFUNCTION("""COMPUTED_VALUE""")," ")</f>
        <v xml:space="preserve"> </v>
      </c>
      <c r="G135" s="1"/>
      <c r="H135" s="1"/>
      <c r="I135" s="1"/>
      <c r="J135" s="1"/>
      <c r="K135" s="1">
        <f ca="1">IFERROR(__xludf.DUMMYFUNCTION("""COMPUTED_VALUE"""),133)</f>
        <v>133</v>
      </c>
      <c r="L135" s="1" t="str">
        <f ca="1">IFERROR(__xludf.DUMMYFUNCTION("""COMPUTED_VALUE"""),"Emma Newell")</f>
        <v>Emma Newell</v>
      </c>
      <c r="M135" s="1" t="str">
        <f ca="1">IFERROR(__xludf.DUMMYFUNCTION("""COMPUTED_VALUE"""),"F40")</f>
        <v>F40</v>
      </c>
      <c r="N135" s="1" t="str">
        <f ca="1">IFERROR(__xludf.DUMMYFUNCTION("""COMPUTED_VALUE"""),"Ballydrain Harriers")</f>
        <v>Ballydrain Harriers</v>
      </c>
      <c r="O135" s="3">
        <f ca="1">IFERROR(__xludf.DUMMYFUNCTION("""COMPUTED_VALUE"""),0.021724537037037)</f>
        <v>2.1724537037037001E-2</v>
      </c>
      <c r="P135" s="1"/>
      <c r="Q135" s="1"/>
      <c r="R135" s="1"/>
      <c r="S135" s="1"/>
      <c r="T135" s="1"/>
      <c r="U135" s="1" t="str">
        <f ca="1">IFERROR(__xludf.DUMMYFUNCTION("""COMPUTED_VALUE""")," ")</f>
        <v xml:space="preserve"> </v>
      </c>
      <c r="V135" s="1" t="str">
        <f ca="1">IFERROR(__xludf.DUMMYFUNCTION("""COMPUTED_VALUE""")," ")</f>
        <v xml:space="preserve"> </v>
      </c>
      <c r="W135" s="1" t="str">
        <f ca="1">IFERROR(__xludf.DUMMYFUNCTION("""COMPUTED_VALUE""")," ")</f>
        <v xml:space="preserve"> </v>
      </c>
      <c r="X135" s="1" t="str">
        <f ca="1">IFERROR(__xludf.DUMMYFUNCTION("""COMPUTED_VALUE""")," ")</f>
        <v xml:space="preserve"> </v>
      </c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</row>
    <row r="136" spans="1:62" x14ac:dyDescent="0.25">
      <c r="A136" s="1"/>
      <c r="B136" s="1"/>
      <c r="C136" s="1"/>
      <c r="D136" s="1"/>
      <c r="E136" s="1"/>
      <c r="F136" s="1" t="str">
        <f ca="1">IFERROR(__xludf.DUMMYFUNCTION("""COMPUTED_VALUE""")," ")</f>
        <v xml:space="preserve"> </v>
      </c>
      <c r="G136" s="1"/>
      <c r="H136" s="1"/>
      <c r="I136" s="1"/>
      <c r="J136" s="1"/>
      <c r="K136" s="1">
        <f ca="1">IFERROR(__xludf.DUMMYFUNCTION("""COMPUTED_VALUE"""),134)</f>
        <v>134</v>
      </c>
      <c r="L136" s="1" t="str">
        <f ca="1">IFERROR(__xludf.DUMMYFUNCTION("""COMPUTED_VALUE"""),"Linda Dugan")</f>
        <v>Linda Dugan</v>
      </c>
      <c r="M136" s="1" t="str">
        <f ca="1">IFERROR(__xludf.DUMMYFUNCTION("""COMPUTED_VALUE"""),"F55")</f>
        <v>F55</v>
      </c>
      <c r="N136" s="1" t="str">
        <f ca="1">IFERROR(__xludf.DUMMYFUNCTION("""COMPUTED_VALUE"""),"Scrabo Striders")</f>
        <v>Scrabo Striders</v>
      </c>
      <c r="O136" s="3">
        <f ca="1">IFERROR(__xludf.DUMMYFUNCTION("""COMPUTED_VALUE"""),0.0218287037037037)</f>
        <v>2.1828703703703701E-2</v>
      </c>
      <c r="P136" s="1"/>
      <c r="Q136" s="1"/>
      <c r="R136" s="1"/>
      <c r="S136" s="1"/>
      <c r="T136" s="1"/>
      <c r="U136" s="1" t="str">
        <f ca="1">IFERROR(__xludf.DUMMYFUNCTION("""COMPUTED_VALUE""")," ")</f>
        <v xml:space="preserve"> </v>
      </c>
      <c r="V136" s="1" t="str">
        <f ca="1">IFERROR(__xludf.DUMMYFUNCTION("""COMPUTED_VALUE""")," ")</f>
        <v xml:space="preserve"> </v>
      </c>
      <c r="W136" s="1" t="str">
        <f ca="1">IFERROR(__xludf.DUMMYFUNCTION("""COMPUTED_VALUE""")," ")</f>
        <v xml:space="preserve"> </v>
      </c>
      <c r="X136" s="1" t="str">
        <f ca="1">IFERROR(__xludf.DUMMYFUNCTION("""COMPUTED_VALUE""")," ")</f>
        <v xml:space="preserve"> </v>
      </c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</row>
    <row r="137" spans="1:62" x14ac:dyDescent="0.25">
      <c r="A137" s="1"/>
      <c r="B137" s="1"/>
      <c r="C137" s="1"/>
      <c r="D137" s="1"/>
      <c r="E137" s="1"/>
      <c r="F137" s="1" t="str">
        <f ca="1">IFERROR(__xludf.DUMMYFUNCTION("""COMPUTED_VALUE""")," ")</f>
        <v xml:space="preserve"> </v>
      </c>
      <c r="G137" s="1"/>
      <c r="H137" s="1"/>
      <c r="I137" s="1"/>
      <c r="J137" s="1"/>
      <c r="K137" s="1">
        <f ca="1">IFERROR(__xludf.DUMMYFUNCTION("""COMPUTED_VALUE"""),135)</f>
        <v>135</v>
      </c>
      <c r="L137" s="1" t="str">
        <f ca="1">IFERROR(__xludf.DUMMYFUNCTION("""COMPUTED_VALUE"""),"Gemma Fowler")</f>
        <v>Gemma Fowler</v>
      </c>
      <c r="M137" s="1" t="str">
        <f ca="1">IFERROR(__xludf.DUMMYFUNCTION("""COMPUTED_VALUE"""),"F40")</f>
        <v>F40</v>
      </c>
      <c r="N137" s="1" t="str">
        <f ca="1">IFERROR(__xludf.DUMMYFUNCTION("""COMPUTED_VALUE"""),"Mallusk Harriers")</f>
        <v>Mallusk Harriers</v>
      </c>
      <c r="O137" s="3">
        <f ca="1">IFERROR(__xludf.DUMMYFUNCTION("""COMPUTED_VALUE"""),0.0231828703703703)</f>
        <v>2.3182870370370302E-2</v>
      </c>
      <c r="P137" s="1"/>
      <c r="Q137" s="1"/>
      <c r="R137" s="1"/>
      <c r="S137" s="1"/>
      <c r="T137" s="1"/>
      <c r="U137" s="1" t="str">
        <f ca="1">IFERROR(__xludf.DUMMYFUNCTION("""COMPUTED_VALUE""")," ")</f>
        <v xml:space="preserve"> </v>
      </c>
      <c r="V137" s="1" t="str">
        <f ca="1">IFERROR(__xludf.DUMMYFUNCTION("""COMPUTED_VALUE""")," ")</f>
        <v xml:space="preserve"> </v>
      </c>
      <c r="W137" s="1" t="str">
        <f ca="1">IFERROR(__xludf.DUMMYFUNCTION("""COMPUTED_VALUE""")," ")</f>
        <v xml:space="preserve"> </v>
      </c>
      <c r="X137" s="1" t="str">
        <f ca="1">IFERROR(__xludf.DUMMYFUNCTION("""COMPUTED_VALUE""")," ")</f>
        <v xml:space="preserve"> </v>
      </c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</row>
    <row r="138" spans="1:62" x14ac:dyDescent="0.25">
      <c r="A138" s="1"/>
      <c r="B138" s="1"/>
      <c r="C138" s="1"/>
      <c r="D138" s="1"/>
      <c r="E138" s="1"/>
      <c r="F138" s="1" t="str">
        <f ca="1">IFERROR(__xludf.DUMMYFUNCTION("""COMPUTED_VALUE""")," ")</f>
        <v xml:space="preserve"> </v>
      </c>
      <c r="G138" s="1"/>
      <c r="H138" s="1"/>
      <c r="I138" s="1"/>
      <c r="J138" s="1"/>
      <c r="K138" s="1">
        <f ca="1">IFERROR(__xludf.DUMMYFUNCTION("""COMPUTED_VALUE"""),136)</f>
        <v>136</v>
      </c>
      <c r="L138" s="1" t="str">
        <f ca="1">IFERROR(__xludf.DUMMYFUNCTION("""COMPUTED_VALUE"""),"Hannah Hope")</f>
        <v>Hannah Hope</v>
      </c>
      <c r="M138" s="1" t="str">
        <f ca="1">IFERROR(__xludf.DUMMYFUNCTION("""COMPUTED_VALUE"""),"FO")</f>
        <v>FO</v>
      </c>
      <c r="N138" s="1" t="str">
        <f ca="1">IFERROR(__xludf.DUMMYFUNCTION("""COMPUTED_VALUE"""),"Mallusk Harriers")</f>
        <v>Mallusk Harriers</v>
      </c>
      <c r="O138" s="3">
        <f ca="1">IFERROR(__xludf.DUMMYFUNCTION("""COMPUTED_VALUE"""),0.0231828703703703)</f>
        <v>2.3182870370370302E-2</v>
      </c>
      <c r="P138" s="1"/>
      <c r="Q138" s="1"/>
      <c r="R138" s="1"/>
      <c r="S138" s="1"/>
      <c r="T138" s="1"/>
      <c r="U138" s="1" t="str">
        <f ca="1">IFERROR(__xludf.DUMMYFUNCTION("""COMPUTED_VALUE""")," ")</f>
        <v xml:space="preserve"> </v>
      </c>
      <c r="V138" s="1" t="str">
        <f ca="1">IFERROR(__xludf.DUMMYFUNCTION("""COMPUTED_VALUE""")," ")</f>
        <v xml:space="preserve"> </v>
      </c>
      <c r="W138" s="1" t="str">
        <f ca="1">IFERROR(__xludf.DUMMYFUNCTION("""COMPUTED_VALUE""")," ")</f>
        <v xml:space="preserve"> </v>
      </c>
      <c r="X138" s="1" t="str">
        <f ca="1">IFERROR(__xludf.DUMMYFUNCTION("""COMPUTED_VALUE""")," ")</f>
        <v xml:space="preserve"> </v>
      </c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</row>
    <row r="139" spans="1:62" x14ac:dyDescent="0.25">
      <c r="A139" s="1"/>
      <c r="B139" s="1"/>
      <c r="C139" s="1"/>
      <c r="D139" s="1"/>
      <c r="E139" s="1"/>
      <c r="F139" s="1" t="str">
        <f ca="1">IFERROR(__xludf.DUMMYFUNCTION("""COMPUTED_VALUE""")," ")</f>
        <v xml:space="preserve"> </v>
      </c>
      <c r="G139" s="1"/>
      <c r="H139" s="1"/>
      <c r="I139" s="1"/>
      <c r="J139" s="1"/>
      <c r="K139" s="1" t="str">
        <f ca="1">IFERROR(__xludf.DUMMYFUNCTION("""COMPUTED_VALUE""")," ")</f>
        <v xml:space="preserve"> </v>
      </c>
      <c r="L139" s="1" t="str">
        <f ca="1">IFERROR(__xludf.DUMMYFUNCTION("""COMPUTED_VALUE""")," ")</f>
        <v xml:space="preserve"> </v>
      </c>
      <c r="M139" s="1" t="str">
        <f ca="1">IFERROR(__xludf.DUMMYFUNCTION("""COMPUTED_VALUE""")," ")</f>
        <v xml:space="preserve"> </v>
      </c>
      <c r="N139" s="1" t="str">
        <f ca="1">IFERROR(__xludf.DUMMYFUNCTION("""COMPUTED_VALUE""")," ")</f>
        <v xml:space="preserve"> </v>
      </c>
      <c r="O139" s="1"/>
      <c r="P139" s="1"/>
      <c r="Q139" s="1"/>
      <c r="R139" s="1"/>
      <c r="S139" s="1"/>
      <c r="T139" s="1"/>
      <c r="U139" s="1" t="str">
        <f ca="1">IFERROR(__xludf.DUMMYFUNCTION("""COMPUTED_VALUE""")," ")</f>
        <v xml:space="preserve"> </v>
      </c>
      <c r="V139" s="1" t="str">
        <f ca="1">IFERROR(__xludf.DUMMYFUNCTION("""COMPUTED_VALUE""")," ")</f>
        <v xml:space="preserve"> </v>
      </c>
      <c r="W139" s="1" t="str">
        <f ca="1">IFERROR(__xludf.DUMMYFUNCTION("""COMPUTED_VALUE""")," ")</f>
        <v xml:space="preserve"> </v>
      </c>
      <c r="X139" s="1" t="str">
        <f ca="1">IFERROR(__xludf.DUMMYFUNCTION("""COMPUTED_VALUE""")," ")</f>
        <v xml:space="preserve"> </v>
      </c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</row>
    <row r="140" spans="1:62" x14ac:dyDescent="0.25">
      <c r="A140" s="1"/>
      <c r="B140" s="1"/>
      <c r="C140" s="1"/>
      <c r="D140" s="1"/>
      <c r="E140" s="1"/>
      <c r="F140" s="1" t="str">
        <f ca="1">IFERROR(__xludf.DUMMYFUNCTION("""COMPUTED_VALUE""")," ")</f>
        <v xml:space="preserve"> </v>
      </c>
      <c r="G140" s="1"/>
      <c r="H140" s="1"/>
      <c r="I140" s="1"/>
      <c r="J140" s="1"/>
      <c r="K140" s="1" t="str">
        <f ca="1">IFERROR(__xludf.DUMMYFUNCTION("""COMPUTED_VALUE""")," ")</f>
        <v xml:space="preserve"> </v>
      </c>
      <c r="L140" s="1" t="str">
        <f ca="1">IFERROR(__xludf.DUMMYFUNCTION("""COMPUTED_VALUE""")," ")</f>
        <v xml:space="preserve"> </v>
      </c>
      <c r="M140" s="1" t="str">
        <f ca="1">IFERROR(__xludf.DUMMYFUNCTION("""COMPUTED_VALUE""")," ")</f>
        <v xml:space="preserve"> </v>
      </c>
      <c r="N140" s="1" t="str">
        <f ca="1">IFERROR(__xludf.DUMMYFUNCTION("""COMPUTED_VALUE""")," ")</f>
        <v xml:space="preserve"> </v>
      </c>
      <c r="O140" s="1"/>
      <c r="P140" s="1"/>
      <c r="Q140" s="1"/>
      <c r="R140" s="1"/>
      <c r="S140" s="1"/>
      <c r="T140" s="1"/>
      <c r="U140" s="1" t="str">
        <f ca="1">IFERROR(__xludf.DUMMYFUNCTION("""COMPUTED_VALUE""")," ")</f>
        <v xml:space="preserve"> </v>
      </c>
      <c r="V140" s="1" t="str">
        <f ca="1">IFERROR(__xludf.DUMMYFUNCTION("""COMPUTED_VALUE""")," ")</f>
        <v xml:space="preserve"> </v>
      </c>
      <c r="W140" s="1" t="str">
        <f ca="1">IFERROR(__xludf.DUMMYFUNCTION("""COMPUTED_VALUE""")," ")</f>
        <v xml:space="preserve"> </v>
      </c>
      <c r="X140" s="1" t="str">
        <f ca="1">IFERROR(__xludf.DUMMYFUNCTION("""COMPUTED_VALUE""")," ")</f>
        <v xml:space="preserve"> </v>
      </c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</row>
    <row r="141" spans="1:62" x14ac:dyDescent="0.25">
      <c r="A141" s="1"/>
      <c r="B141" s="1"/>
      <c r="C141" s="1"/>
      <c r="D141" s="1"/>
      <c r="E141" s="1"/>
      <c r="F141" s="1" t="str">
        <f ca="1">IFERROR(__xludf.DUMMYFUNCTION("""COMPUTED_VALUE""")," ")</f>
        <v xml:space="preserve"> </v>
      </c>
      <c r="G141" s="1"/>
      <c r="H141" s="1"/>
      <c r="I141" s="1"/>
      <c r="J141" s="1"/>
      <c r="K141" s="1" t="str">
        <f ca="1">IFERROR(__xludf.DUMMYFUNCTION("""COMPUTED_VALUE""")," ")</f>
        <v xml:space="preserve"> </v>
      </c>
      <c r="L141" s="1" t="str">
        <f ca="1">IFERROR(__xludf.DUMMYFUNCTION("""COMPUTED_VALUE""")," ")</f>
        <v xml:space="preserve"> </v>
      </c>
      <c r="M141" s="1" t="str">
        <f ca="1">IFERROR(__xludf.DUMMYFUNCTION("""COMPUTED_VALUE""")," ")</f>
        <v xml:space="preserve"> </v>
      </c>
      <c r="N141" s="1" t="str">
        <f ca="1">IFERROR(__xludf.DUMMYFUNCTION("""COMPUTED_VALUE""")," ")</f>
        <v xml:space="preserve"> </v>
      </c>
      <c r="O141" s="1"/>
      <c r="P141" s="1"/>
      <c r="Q141" s="1"/>
      <c r="R141" s="1"/>
      <c r="S141" s="1"/>
      <c r="T141" s="1"/>
      <c r="U141" s="1" t="str">
        <f ca="1">IFERROR(__xludf.DUMMYFUNCTION("""COMPUTED_VALUE""")," ")</f>
        <v xml:space="preserve"> </v>
      </c>
      <c r="V141" s="1" t="str">
        <f ca="1">IFERROR(__xludf.DUMMYFUNCTION("""COMPUTED_VALUE""")," ")</f>
        <v xml:space="preserve"> </v>
      </c>
      <c r="W141" s="1" t="str">
        <f ca="1">IFERROR(__xludf.DUMMYFUNCTION("""COMPUTED_VALUE""")," ")</f>
        <v xml:space="preserve"> </v>
      </c>
      <c r="X141" s="1" t="str">
        <f ca="1">IFERROR(__xludf.DUMMYFUNCTION("""COMPUTED_VALUE""")," ")</f>
        <v xml:space="preserve"> </v>
      </c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</row>
    <row r="142" spans="1:62" x14ac:dyDescent="0.25">
      <c r="A142" s="1"/>
      <c r="B142" s="1"/>
      <c r="C142" s="1"/>
      <c r="D142" s="1"/>
      <c r="E142" s="1"/>
      <c r="F142" s="1" t="str">
        <f ca="1">IFERROR(__xludf.DUMMYFUNCTION("""COMPUTED_VALUE""")," ")</f>
        <v xml:space="preserve"> </v>
      </c>
      <c r="G142" s="1"/>
      <c r="H142" s="1"/>
      <c r="I142" s="1"/>
      <c r="J142" s="1"/>
      <c r="K142" s="1" t="str">
        <f ca="1">IFERROR(__xludf.DUMMYFUNCTION("""COMPUTED_VALUE""")," ")</f>
        <v xml:space="preserve"> </v>
      </c>
      <c r="L142" s="1" t="str">
        <f ca="1">IFERROR(__xludf.DUMMYFUNCTION("""COMPUTED_VALUE""")," ")</f>
        <v xml:space="preserve"> </v>
      </c>
      <c r="M142" s="1" t="str">
        <f ca="1">IFERROR(__xludf.DUMMYFUNCTION("""COMPUTED_VALUE""")," ")</f>
        <v xml:space="preserve"> </v>
      </c>
      <c r="N142" s="1" t="str">
        <f ca="1">IFERROR(__xludf.DUMMYFUNCTION("""COMPUTED_VALUE""")," ")</f>
        <v xml:space="preserve"> </v>
      </c>
      <c r="O142" s="1"/>
      <c r="P142" s="1"/>
      <c r="Q142" s="1"/>
      <c r="R142" s="1"/>
      <c r="S142" s="1"/>
      <c r="T142" s="1"/>
      <c r="U142" s="1" t="str">
        <f ca="1">IFERROR(__xludf.DUMMYFUNCTION("""COMPUTED_VALUE""")," ")</f>
        <v xml:space="preserve"> </v>
      </c>
      <c r="V142" s="1" t="str">
        <f ca="1">IFERROR(__xludf.DUMMYFUNCTION("""COMPUTED_VALUE""")," ")</f>
        <v xml:space="preserve"> </v>
      </c>
      <c r="W142" s="1" t="str">
        <f ca="1">IFERROR(__xludf.DUMMYFUNCTION("""COMPUTED_VALUE""")," ")</f>
        <v xml:space="preserve"> </v>
      </c>
      <c r="X142" s="1" t="str">
        <f ca="1">IFERROR(__xludf.DUMMYFUNCTION("""COMPUTED_VALUE""")," ")</f>
        <v xml:space="preserve"> </v>
      </c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</row>
    <row r="143" spans="1:62" x14ac:dyDescent="0.25">
      <c r="A143" s="1"/>
      <c r="B143" s="1"/>
      <c r="C143" s="1"/>
      <c r="D143" s="1"/>
      <c r="E143" s="1"/>
      <c r="F143" s="1" t="str">
        <f ca="1">IFERROR(__xludf.DUMMYFUNCTION("""COMPUTED_VALUE""")," ")</f>
        <v xml:space="preserve"> </v>
      </c>
      <c r="G143" s="1"/>
      <c r="H143" s="1"/>
      <c r="I143" s="1"/>
      <c r="J143" s="1"/>
      <c r="K143" s="1" t="str">
        <f ca="1">IFERROR(__xludf.DUMMYFUNCTION("""COMPUTED_VALUE""")," ")</f>
        <v xml:space="preserve"> </v>
      </c>
      <c r="L143" s="1" t="str">
        <f ca="1">IFERROR(__xludf.DUMMYFUNCTION("""COMPUTED_VALUE""")," ")</f>
        <v xml:space="preserve"> </v>
      </c>
      <c r="M143" s="1" t="str">
        <f ca="1">IFERROR(__xludf.DUMMYFUNCTION("""COMPUTED_VALUE""")," ")</f>
        <v xml:space="preserve"> </v>
      </c>
      <c r="N143" s="1" t="str">
        <f ca="1">IFERROR(__xludf.DUMMYFUNCTION("""COMPUTED_VALUE""")," ")</f>
        <v xml:space="preserve"> </v>
      </c>
      <c r="O143" s="1"/>
      <c r="P143" s="1"/>
      <c r="Q143" s="1"/>
      <c r="R143" s="1"/>
      <c r="S143" s="1"/>
      <c r="T143" s="1"/>
      <c r="U143" s="1" t="str">
        <f ca="1">IFERROR(__xludf.DUMMYFUNCTION("""COMPUTED_VALUE""")," ")</f>
        <v xml:space="preserve"> </v>
      </c>
      <c r="V143" s="1" t="str">
        <f ca="1">IFERROR(__xludf.DUMMYFUNCTION("""COMPUTED_VALUE""")," ")</f>
        <v xml:space="preserve"> </v>
      </c>
      <c r="W143" s="1" t="str">
        <f ca="1">IFERROR(__xludf.DUMMYFUNCTION("""COMPUTED_VALUE""")," ")</f>
        <v xml:space="preserve"> </v>
      </c>
      <c r="X143" s="1" t="str">
        <f ca="1">IFERROR(__xludf.DUMMYFUNCTION("""COMPUTED_VALUE""")," ")</f>
        <v xml:space="preserve"> </v>
      </c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</row>
    <row r="144" spans="1:62" x14ac:dyDescent="0.25">
      <c r="A144" s="1"/>
      <c r="B144" s="1"/>
      <c r="C144" s="1"/>
      <c r="D144" s="1"/>
      <c r="E144" s="1"/>
      <c r="F144" s="1" t="str">
        <f ca="1">IFERROR(__xludf.DUMMYFUNCTION("""COMPUTED_VALUE""")," ")</f>
        <v xml:space="preserve"> </v>
      </c>
      <c r="G144" s="1"/>
      <c r="H144" s="1"/>
      <c r="I144" s="1"/>
      <c r="J144" s="1"/>
      <c r="K144" s="1" t="str">
        <f ca="1">IFERROR(__xludf.DUMMYFUNCTION("""COMPUTED_VALUE""")," ")</f>
        <v xml:space="preserve"> </v>
      </c>
      <c r="L144" s="1" t="str">
        <f ca="1">IFERROR(__xludf.DUMMYFUNCTION("""COMPUTED_VALUE""")," ")</f>
        <v xml:space="preserve"> </v>
      </c>
      <c r="M144" s="1" t="str">
        <f ca="1">IFERROR(__xludf.DUMMYFUNCTION("""COMPUTED_VALUE""")," ")</f>
        <v xml:space="preserve"> </v>
      </c>
      <c r="N144" s="1" t="str">
        <f ca="1">IFERROR(__xludf.DUMMYFUNCTION("""COMPUTED_VALUE""")," ")</f>
        <v xml:space="preserve"> </v>
      </c>
      <c r="O144" s="1"/>
      <c r="P144" s="1"/>
      <c r="Q144" s="1"/>
      <c r="R144" s="1"/>
      <c r="S144" s="1"/>
      <c r="T144" s="1"/>
      <c r="U144" s="1" t="str">
        <f ca="1">IFERROR(__xludf.DUMMYFUNCTION("""COMPUTED_VALUE""")," ")</f>
        <v xml:space="preserve"> </v>
      </c>
      <c r="V144" s="1" t="str">
        <f ca="1">IFERROR(__xludf.DUMMYFUNCTION("""COMPUTED_VALUE""")," ")</f>
        <v xml:space="preserve"> </v>
      </c>
      <c r="W144" s="1" t="str">
        <f ca="1">IFERROR(__xludf.DUMMYFUNCTION("""COMPUTED_VALUE""")," ")</f>
        <v xml:space="preserve"> </v>
      </c>
      <c r="X144" s="1" t="str">
        <f ca="1">IFERROR(__xludf.DUMMYFUNCTION("""COMPUTED_VALUE""")," ")</f>
        <v xml:space="preserve"> </v>
      </c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</row>
    <row r="145" spans="1:62" x14ac:dyDescent="0.25">
      <c r="A145" s="1"/>
      <c r="B145" s="1"/>
      <c r="C145" s="1"/>
      <c r="D145" s="1"/>
      <c r="E145" s="1"/>
      <c r="F145" s="1" t="str">
        <f ca="1">IFERROR(__xludf.DUMMYFUNCTION("""COMPUTED_VALUE""")," ")</f>
        <v xml:space="preserve"> </v>
      </c>
      <c r="G145" s="1"/>
      <c r="H145" s="1"/>
      <c r="I145" s="1"/>
      <c r="J145" s="1"/>
      <c r="K145" s="1" t="str">
        <f ca="1">IFERROR(__xludf.DUMMYFUNCTION("""COMPUTED_VALUE""")," ")</f>
        <v xml:space="preserve"> </v>
      </c>
      <c r="L145" s="1" t="str">
        <f ca="1">IFERROR(__xludf.DUMMYFUNCTION("""COMPUTED_VALUE""")," ")</f>
        <v xml:space="preserve"> </v>
      </c>
      <c r="M145" s="1" t="str">
        <f ca="1">IFERROR(__xludf.DUMMYFUNCTION("""COMPUTED_VALUE""")," ")</f>
        <v xml:space="preserve"> </v>
      </c>
      <c r="N145" s="1" t="str">
        <f ca="1">IFERROR(__xludf.DUMMYFUNCTION("""COMPUTED_VALUE""")," ")</f>
        <v xml:space="preserve"> </v>
      </c>
      <c r="O145" s="1"/>
      <c r="P145" s="1"/>
      <c r="Q145" s="1"/>
      <c r="R145" s="1"/>
      <c r="S145" s="1"/>
      <c r="T145" s="1"/>
      <c r="U145" s="1" t="str">
        <f ca="1">IFERROR(__xludf.DUMMYFUNCTION("""COMPUTED_VALUE""")," ")</f>
        <v xml:space="preserve"> </v>
      </c>
      <c r="V145" s="1" t="str">
        <f ca="1">IFERROR(__xludf.DUMMYFUNCTION("""COMPUTED_VALUE""")," ")</f>
        <v xml:space="preserve"> </v>
      </c>
      <c r="W145" s="1" t="str">
        <f ca="1">IFERROR(__xludf.DUMMYFUNCTION("""COMPUTED_VALUE""")," ")</f>
        <v xml:space="preserve"> </v>
      </c>
      <c r="X145" s="1" t="str">
        <f ca="1">IFERROR(__xludf.DUMMYFUNCTION("""COMPUTED_VALUE""")," ")</f>
        <v xml:space="preserve"> </v>
      </c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</row>
    <row r="146" spans="1:62" x14ac:dyDescent="0.25">
      <c r="A146" s="1"/>
      <c r="B146" s="1"/>
      <c r="C146" s="1"/>
      <c r="D146" s="1"/>
      <c r="E146" s="1"/>
      <c r="F146" s="1" t="str">
        <f ca="1">IFERROR(__xludf.DUMMYFUNCTION("""COMPUTED_VALUE""")," ")</f>
        <v xml:space="preserve"> </v>
      </c>
      <c r="G146" s="1"/>
      <c r="H146" s="1"/>
      <c r="I146" s="1"/>
      <c r="J146" s="1"/>
      <c r="K146" s="1" t="str">
        <f ca="1">IFERROR(__xludf.DUMMYFUNCTION("""COMPUTED_VALUE""")," ")</f>
        <v xml:space="preserve"> </v>
      </c>
      <c r="L146" s="1" t="str">
        <f ca="1">IFERROR(__xludf.DUMMYFUNCTION("""COMPUTED_VALUE""")," ")</f>
        <v xml:space="preserve"> </v>
      </c>
      <c r="M146" s="1" t="str">
        <f ca="1">IFERROR(__xludf.DUMMYFUNCTION("""COMPUTED_VALUE""")," ")</f>
        <v xml:space="preserve"> </v>
      </c>
      <c r="N146" s="1" t="str">
        <f ca="1">IFERROR(__xludf.DUMMYFUNCTION("""COMPUTED_VALUE""")," ")</f>
        <v xml:space="preserve"> </v>
      </c>
      <c r="O146" s="1"/>
      <c r="P146" s="1"/>
      <c r="Q146" s="1"/>
      <c r="R146" s="1"/>
      <c r="S146" s="1"/>
      <c r="T146" s="1"/>
      <c r="U146" s="1" t="str">
        <f ca="1">IFERROR(__xludf.DUMMYFUNCTION("""COMPUTED_VALUE""")," ")</f>
        <v xml:space="preserve"> </v>
      </c>
      <c r="V146" s="1" t="str">
        <f ca="1">IFERROR(__xludf.DUMMYFUNCTION("""COMPUTED_VALUE""")," ")</f>
        <v xml:space="preserve"> </v>
      </c>
      <c r="W146" s="1" t="str">
        <f ca="1">IFERROR(__xludf.DUMMYFUNCTION("""COMPUTED_VALUE""")," ")</f>
        <v xml:space="preserve"> </v>
      </c>
      <c r="X146" s="1" t="str">
        <f ca="1">IFERROR(__xludf.DUMMYFUNCTION("""COMPUTED_VALUE""")," ")</f>
        <v xml:space="preserve"> </v>
      </c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</row>
    <row r="147" spans="1:62" x14ac:dyDescent="0.25">
      <c r="A147" s="1"/>
      <c r="B147" s="1"/>
      <c r="C147" s="1"/>
      <c r="D147" s="1"/>
      <c r="E147" s="1"/>
      <c r="F147" s="1" t="str">
        <f ca="1">IFERROR(__xludf.DUMMYFUNCTION("""COMPUTED_VALUE""")," ")</f>
        <v xml:space="preserve"> </v>
      </c>
      <c r="G147" s="1"/>
      <c r="H147" s="1"/>
      <c r="I147" s="1"/>
      <c r="J147" s="1"/>
      <c r="K147" s="1" t="str">
        <f ca="1">IFERROR(__xludf.DUMMYFUNCTION("""COMPUTED_VALUE""")," ")</f>
        <v xml:space="preserve"> </v>
      </c>
      <c r="L147" s="1" t="str">
        <f ca="1">IFERROR(__xludf.DUMMYFUNCTION("""COMPUTED_VALUE""")," ")</f>
        <v xml:space="preserve"> </v>
      </c>
      <c r="M147" s="1" t="str">
        <f ca="1">IFERROR(__xludf.DUMMYFUNCTION("""COMPUTED_VALUE""")," ")</f>
        <v xml:space="preserve"> </v>
      </c>
      <c r="N147" s="1" t="str">
        <f ca="1">IFERROR(__xludf.DUMMYFUNCTION("""COMPUTED_VALUE""")," ")</f>
        <v xml:space="preserve"> </v>
      </c>
      <c r="O147" s="1"/>
      <c r="P147" s="1"/>
      <c r="Q147" s="1"/>
      <c r="R147" s="1"/>
      <c r="S147" s="1"/>
      <c r="T147" s="1"/>
      <c r="U147" s="1" t="str">
        <f ca="1">IFERROR(__xludf.DUMMYFUNCTION("""COMPUTED_VALUE""")," ")</f>
        <v xml:space="preserve"> </v>
      </c>
      <c r="V147" s="1" t="str">
        <f ca="1">IFERROR(__xludf.DUMMYFUNCTION("""COMPUTED_VALUE""")," ")</f>
        <v xml:space="preserve"> </v>
      </c>
      <c r="W147" s="1" t="str">
        <f ca="1">IFERROR(__xludf.DUMMYFUNCTION("""COMPUTED_VALUE""")," ")</f>
        <v xml:space="preserve"> </v>
      </c>
      <c r="X147" s="1" t="str">
        <f ca="1">IFERROR(__xludf.DUMMYFUNCTION("""COMPUTED_VALUE""")," ")</f>
        <v xml:space="preserve"> </v>
      </c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</row>
    <row r="148" spans="1:62" x14ac:dyDescent="0.25">
      <c r="A148" s="1"/>
      <c r="B148" s="1"/>
      <c r="C148" s="1"/>
      <c r="D148" s="1"/>
      <c r="E148" s="1"/>
      <c r="F148" s="1" t="str">
        <f ca="1">IFERROR(__xludf.DUMMYFUNCTION("""COMPUTED_VALUE""")," ")</f>
        <v xml:space="preserve"> </v>
      </c>
      <c r="G148" s="1"/>
      <c r="H148" s="1"/>
      <c r="I148" s="1"/>
      <c r="J148" s="1"/>
      <c r="K148" s="1" t="str">
        <f ca="1">IFERROR(__xludf.DUMMYFUNCTION("""COMPUTED_VALUE""")," ")</f>
        <v xml:space="preserve"> </v>
      </c>
      <c r="L148" s="1" t="str">
        <f ca="1">IFERROR(__xludf.DUMMYFUNCTION("""COMPUTED_VALUE""")," ")</f>
        <v xml:space="preserve"> </v>
      </c>
      <c r="M148" s="1" t="str">
        <f ca="1">IFERROR(__xludf.DUMMYFUNCTION("""COMPUTED_VALUE""")," ")</f>
        <v xml:space="preserve"> </v>
      </c>
      <c r="N148" s="1" t="str">
        <f ca="1">IFERROR(__xludf.DUMMYFUNCTION("""COMPUTED_VALUE""")," ")</f>
        <v xml:space="preserve"> </v>
      </c>
      <c r="O148" s="1"/>
      <c r="P148" s="1"/>
      <c r="Q148" s="1"/>
      <c r="R148" s="1"/>
      <c r="S148" s="1"/>
      <c r="T148" s="1"/>
      <c r="U148" s="1" t="str">
        <f ca="1">IFERROR(__xludf.DUMMYFUNCTION("""COMPUTED_VALUE""")," ")</f>
        <v xml:space="preserve"> </v>
      </c>
      <c r="V148" s="1" t="str">
        <f ca="1">IFERROR(__xludf.DUMMYFUNCTION("""COMPUTED_VALUE""")," ")</f>
        <v xml:space="preserve"> </v>
      </c>
      <c r="W148" s="1" t="str">
        <f ca="1">IFERROR(__xludf.DUMMYFUNCTION("""COMPUTED_VALUE""")," ")</f>
        <v xml:space="preserve"> </v>
      </c>
      <c r="X148" s="1" t="str">
        <f ca="1">IFERROR(__xludf.DUMMYFUNCTION("""COMPUTED_VALUE""")," ")</f>
        <v xml:space="preserve"> </v>
      </c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</row>
    <row r="149" spans="1:62" x14ac:dyDescent="0.25">
      <c r="A149" s="1"/>
      <c r="B149" s="1"/>
      <c r="C149" s="1"/>
      <c r="D149" s="1"/>
      <c r="E149" s="1"/>
      <c r="F149" s="1" t="str">
        <f ca="1">IFERROR(__xludf.DUMMYFUNCTION("""COMPUTED_VALUE""")," ")</f>
        <v xml:space="preserve"> </v>
      </c>
      <c r="G149" s="1"/>
      <c r="H149" s="1"/>
      <c r="I149" s="1"/>
      <c r="J149" s="1"/>
      <c r="K149" s="1" t="str">
        <f ca="1">IFERROR(__xludf.DUMMYFUNCTION("""COMPUTED_VALUE""")," ")</f>
        <v xml:space="preserve"> </v>
      </c>
      <c r="L149" s="1" t="str">
        <f ca="1">IFERROR(__xludf.DUMMYFUNCTION("""COMPUTED_VALUE""")," ")</f>
        <v xml:space="preserve"> </v>
      </c>
      <c r="M149" s="1" t="str">
        <f ca="1">IFERROR(__xludf.DUMMYFUNCTION("""COMPUTED_VALUE""")," ")</f>
        <v xml:space="preserve"> </v>
      </c>
      <c r="N149" s="1" t="str">
        <f ca="1">IFERROR(__xludf.DUMMYFUNCTION("""COMPUTED_VALUE""")," ")</f>
        <v xml:space="preserve"> </v>
      </c>
      <c r="O149" s="1"/>
      <c r="P149" s="1"/>
      <c r="Q149" s="1"/>
      <c r="R149" s="1"/>
      <c r="S149" s="1"/>
      <c r="T149" s="1"/>
      <c r="U149" s="1" t="str">
        <f ca="1">IFERROR(__xludf.DUMMYFUNCTION("""COMPUTED_VALUE""")," ")</f>
        <v xml:space="preserve"> </v>
      </c>
      <c r="V149" s="1" t="str">
        <f ca="1">IFERROR(__xludf.DUMMYFUNCTION("""COMPUTED_VALUE""")," ")</f>
        <v xml:space="preserve"> </v>
      </c>
      <c r="W149" s="1" t="str">
        <f ca="1">IFERROR(__xludf.DUMMYFUNCTION("""COMPUTED_VALUE""")," ")</f>
        <v xml:space="preserve"> </v>
      </c>
      <c r="X149" s="1" t="str">
        <f ca="1">IFERROR(__xludf.DUMMYFUNCTION("""COMPUTED_VALUE""")," ")</f>
        <v xml:space="preserve"> </v>
      </c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</row>
    <row r="150" spans="1:62" x14ac:dyDescent="0.25">
      <c r="A150" s="1"/>
      <c r="B150" s="1"/>
      <c r="C150" s="1"/>
      <c r="D150" s="1"/>
      <c r="E150" s="1"/>
      <c r="F150" s="1" t="str">
        <f ca="1">IFERROR(__xludf.DUMMYFUNCTION("""COMPUTED_VALUE""")," ")</f>
        <v xml:space="preserve"> </v>
      </c>
      <c r="G150" s="1"/>
      <c r="H150" s="1"/>
      <c r="I150" s="1"/>
      <c r="J150" s="1"/>
      <c r="K150" s="1" t="str">
        <f ca="1">IFERROR(__xludf.DUMMYFUNCTION("""COMPUTED_VALUE""")," ")</f>
        <v xml:space="preserve"> </v>
      </c>
      <c r="L150" s="1" t="str">
        <f ca="1">IFERROR(__xludf.DUMMYFUNCTION("""COMPUTED_VALUE""")," ")</f>
        <v xml:space="preserve"> </v>
      </c>
      <c r="M150" s="1" t="str">
        <f ca="1">IFERROR(__xludf.DUMMYFUNCTION("""COMPUTED_VALUE""")," ")</f>
        <v xml:space="preserve"> </v>
      </c>
      <c r="N150" s="1" t="str">
        <f ca="1">IFERROR(__xludf.DUMMYFUNCTION("""COMPUTED_VALUE""")," ")</f>
        <v xml:space="preserve"> </v>
      </c>
      <c r="O150" s="1"/>
      <c r="P150" s="1"/>
      <c r="Q150" s="1"/>
      <c r="R150" s="1"/>
      <c r="S150" s="1"/>
      <c r="T150" s="1"/>
      <c r="U150" s="1" t="str">
        <f ca="1">IFERROR(__xludf.DUMMYFUNCTION("""COMPUTED_VALUE""")," ")</f>
        <v xml:space="preserve"> </v>
      </c>
      <c r="V150" s="1" t="str">
        <f ca="1">IFERROR(__xludf.DUMMYFUNCTION("""COMPUTED_VALUE""")," ")</f>
        <v xml:space="preserve"> </v>
      </c>
      <c r="W150" s="1" t="str">
        <f ca="1">IFERROR(__xludf.DUMMYFUNCTION("""COMPUTED_VALUE""")," ")</f>
        <v xml:space="preserve"> </v>
      </c>
      <c r="X150" s="1" t="str">
        <f ca="1">IFERROR(__xludf.DUMMYFUNCTION("""COMPUTED_VALUE""")," ")</f>
        <v xml:space="preserve"> </v>
      </c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</row>
    <row r="151" spans="1:62" x14ac:dyDescent="0.25">
      <c r="A151" s="1"/>
      <c r="B151" s="1"/>
      <c r="C151" s="1"/>
      <c r="D151" s="1"/>
      <c r="E151" s="1"/>
      <c r="F151" s="1" t="str">
        <f ca="1">IFERROR(__xludf.DUMMYFUNCTION("""COMPUTED_VALUE""")," ")</f>
        <v xml:space="preserve"> </v>
      </c>
      <c r="G151" s="1"/>
      <c r="H151" s="1"/>
      <c r="I151" s="1"/>
      <c r="J151" s="1"/>
      <c r="K151" s="1" t="str">
        <f ca="1">IFERROR(__xludf.DUMMYFUNCTION("""COMPUTED_VALUE""")," ")</f>
        <v xml:space="preserve"> </v>
      </c>
      <c r="L151" s="1" t="str">
        <f ca="1">IFERROR(__xludf.DUMMYFUNCTION("""COMPUTED_VALUE""")," ")</f>
        <v xml:space="preserve"> </v>
      </c>
      <c r="M151" s="1" t="str">
        <f ca="1">IFERROR(__xludf.DUMMYFUNCTION("""COMPUTED_VALUE""")," ")</f>
        <v xml:space="preserve"> </v>
      </c>
      <c r="N151" s="1" t="str">
        <f ca="1">IFERROR(__xludf.DUMMYFUNCTION("""COMPUTED_VALUE""")," ")</f>
        <v xml:space="preserve"> </v>
      </c>
      <c r="O151" s="1"/>
      <c r="P151" s="1"/>
      <c r="Q151" s="1"/>
      <c r="R151" s="1"/>
      <c r="S151" s="1"/>
      <c r="T151" s="1"/>
      <c r="U151" s="1" t="str">
        <f ca="1">IFERROR(__xludf.DUMMYFUNCTION("""COMPUTED_VALUE""")," ")</f>
        <v xml:space="preserve"> </v>
      </c>
      <c r="V151" s="1" t="str">
        <f ca="1">IFERROR(__xludf.DUMMYFUNCTION("""COMPUTED_VALUE""")," ")</f>
        <v xml:space="preserve"> </v>
      </c>
      <c r="W151" s="1" t="str">
        <f ca="1">IFERROR(__xludf.DUMMYFUNCTION("""COMPUTED_VALUE""")," ")</f>
        <v xml:space="preserve"> </v>
      </c>
      <c r="X151" s="1" t="str">
        <f ca="1">IFERROR(__xludf.DUMMYFUNCTION("""COMPUTED_VALUE""")," ")</f>
        <v xml:space="preserve"> </v>
      </c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</row>
    <row r="152" spans="1:62" x14ac:dyDescent="0.25">
      <c r="A152" s="1"/>
      <c r="B152" s="1"/>
      <c r="C152" s="1"/>
      <c r="D152" s="1"/>
      <c r="E152" s="1"/>
      <c r="F152" s="1" t="str">
        <f ca="1">IFERROR(__xludf.DUMMYFUNCTION("""COMPUTED_VALUE""")," ")</f>
        <v xml:space="preserve"> </v>
      </c>
      <c r="G152" s="1"/>
      <c r="H152" s="1"/>
      <c r="I152" s="1"/>
      <c r="J152" s="1"/>
      <c r="K152" s="1" t="str">
        <f ca="1">IFERROR(__xludf.DUMMYFUNCTION("""COMPUTED_VALUE""")," ")</f>
        <v xml:space="preserve"> </v>
      </c>
      <c r="L152" s="1" t="str">
        <f ca="1">IFERROR(__xludf.DUMMYFUNCTION("""COMPUTED_VALUE""")," ")</f>
        <v xml:space="preserve"> </v>
      </c>
      <c r="M152" s="1" t="str">
        <f ca="1">IFERROR(__xludf.DUMMYFUNCTION("""COMPUTED_VALUE""")," ")</f>
        <v xml:space="preserve"> </v>
      </c>
      <c r="N152" s="1" t="str">
        <f ca="1">IFERROR(__xludf.DUMMYFUNCTION("""COMPUTED_VALUE""")," ")</f>
        <v xml:space="preserve"> </v>
      </c>
      <c r="O152" s="1"/>
      <c r="P152" s="1"/>
      <c r="Q152" s="1"/>
      <c r="R152" s="1"/>
      <c r="S152" s="1"/>
      <c r="T152" s="1"/>
      <c r="U152" s="1" t="str">
        <f ca="1">IFERROR(__xludf.DUMMYFUNCTION("""COMPUTED_VALUE""")," ")</f>
        <v xml:space="preserve"> </v>
      </c>
      <c r="V152" s="1" t="str">
        <f ca="1">IFERROR(__xludf.DUMMYFUNCTION("""COMPUTED_VALUE""")," ")</f>
        <v xml:space="preserve"> </v>
      </c>
      <c r="W152" s="1" t="str">
        <f ca="1">IFERROR(__xludf.DUMMYFUNCTION("""COMPUTED_VALUE""")," ")</f>
        <v xml:space="preserve"> </v>
      </c>
      <c r="X152" s="1" t="str">
        <f ca="1">IFERROR(__xludf.DUMMYFUNCTION("""COMPUTED_VALUE""")," ")</f>
        <v xml:space="preserve"> </v>
      </c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</row>
    <row r="153" spans="1:62" x14ac:dyDescent="0.25">
      <c r="A153" s="1"/>
      <c r="B153" s="1"/>
      <c r="C153" s="1"/>
      <c r="D153" s="1"/>
      <c r="E153" s="1"/>
      <c r="F153" s="1" t="str">
        <f ca="1">IFERROR(__xludf.DUMMYFUNCTION("""COMPUTED_VALUE""")," ")</f>
        <v xml:space="preserve"> </v>
      </c>
      <c r="G153" s="1"/>
      <c r="H153" s="1"/>
      <c r="I153" s="1"/>
      <c r="J153" s="1"/>
      <c r="K153" s="1" t="str">
        <f ca="1">IFERROR(__xludf.DUMMYFUNCTION("""COMPUTED_VALUE""")," ")</f>
        <v xml:space="preserve"> </v>
      </c>
      <c r="L153" s="1" t="str">
        <f ca="1">IFERROR(__xludf.DUMMYFUNCTION("""COMPUTED_VALUE""")," ")</f>
        <v xml:space="preserve"> </v>
      </c>
      <c r="M153" s="1" t="str">
        <f ca="1">IFERROR(__xludf.DUMMYFUNCTION("""COMPUTED_VALUE""")," ")</f>
        <v xml:space="preserve"> </v>
      </c>
      <c r="N153" s="1" t="str">
        <f ca="1">IFERROR(__xludf.DUMMYFUNCTION("""COMPUTED_VALUE""")," ")</f>
        <v xml:space="preserve"> </v>
      </c>
      <c r="O153" s="1"/>
      <c r="P153" s="1"/>
      <c r="Q153" s="1"/>
      <c r="R153" s="1"/>
      <c r="S153" s="1"/>
      <c r="T153" s="1"/>
      <c r="U153" s="1" t="str">
        <f ca="1">IFERROR(__xludf.DUMMYFUNCTION("""COMPUTED_VALUE""")," ")</f>
        <v xml:space="preserve"> </v>
      </c>
      <c r="V153" s="1" t="str">
        <f ca="1">IFERROR(__xludf.DUMMYFUNCTION("""COMPUTED_VALUE""")," ")</f>
        <v xml:space="preserve"> </v>
      </c>
      <c r="W153" s="1" t="str">
        <f ca="1">IFERROR(__xludf.DUMMYFUNCTION("""COMPUTED_VALUE""")," ")</f>
        <v xml:space="preserve"> </v>
      </c>
      <c r="X153" s="1" t="str">
        <f ca="1">IFERROR(__xludf.DUMMYFUNCTION("""COMPUTED_VALUE""")," ")</f>
        <v xml:space="preserve"> </v>
      </c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</row>
    <row r="154" spans="1:62" x14ac:dyDescent="0.25">
      <c r="A154" s="1"/>
      <c r="B154" s="1"/>
      <c r="C154" s="1"/>
      <c r="D154" s="1"/>
      <c r="E154" s="1"/>
      <c r="F154" s="1" t="str">
        <f ca="1">IFERROR(__xludf.DUMMYFUNCTION("""COMPUTED_VALUE""")," ")</f>
        <v xml:space="preserve"> </v>
      </c>
      <c r="G154" s="1"/>
      <c r="H154" s="1"/>
      <c r="I154" s="1"/>
      <c r="J154" s="1"/>
      <c r="K154" s="1" t="str">
        <f ca="1">IFERROR(__xludf.DUMMYFUNCTION("""COMPUTED_VALUE""")," ")</f>
        <v xml:space="preserve"> </v>
      </c>
      <c r="L154" s="1" t="str">
        <f ca="1">IFERROR(__xludf.DUMMYFUNCTION("""COMPUTED_VALUE""")," ")</f>
        <v xml:space="preserve"> </v>
      </c>
      <c r="M154" s="1" t="str">
        <f ca="1">IFERROR(__xludf.DUMMYFUNCTION("""COMPUTED_VALUE""")," ")</f>
        <v xml:space="preserve"> </v>
      </c>
      <c r="N154" s="1" t="str">
        <f ca="1">IFERROR(__xludf.DUMMYFUNCTION("""COMPUTED_VALUE""")," ")</f>
        <v xml:space="preserve"> </v>
      </c>
      <c r="O154" s="1"/>
      <c r="P154" s="1"/>
      <c r="Q154" s="1"/>
      <c r="R154" s="1"/>
      <c r="S154" s="1"/>
      <c r="T154" s="1"/>
      <c r="U154" s="1" t="str">
        <f ca="1">IFERROR(__xludf.DUMMYFUNCTION("""COMPUTED_VALUE""")," ")</f>
        <v xml:space="preserve"> </v>
      </c>
      <c r="V154" s="1" t="str">
        <f ca="1">IFERROR(__xludf.DUMMYFUNCTION("""COMPUTED_VALUE""")," ")</f>
        <v xml:space="preserve"> </v>
      </c>
      <c r="W154" s="1" t="str">
        <f ca="1">IFERROR(__xludf.DUMMYFUNCTION("""COMPUTED_VALUE""")," ")</f>
        <v xml:space="preserve"> </v>
      </c>
      <c r="X154" s="1" t="str">
        <f ca="1">IFERROR(__xludf.DUMMYFUNCTION("""COMPUTED_VALUE""")," ")</f>
        <v xml:space="preserve"> </v>
      </c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</row>
    <row r="155" spans="1:62" x14ac:dyDescent="0.25">
      <c r="A155" s="1"/>
      <c r="B155" s="1"/>
      <c r="C155" s="1"/>
      <c r="D155" s="1"/>
      <c r="E155" s="1"/>
      <c r="F155" s="1" t="str">
        <f ca="1">IFERROR(__xludf.DUMMYFUNCTION("""COMPUTED_VALUE""")," ")</f>
        <v xml:space="preserve"> </v>
      </c>
      <c r="G155" s="1"/>
      <c r="H155" s="1"/>
      <c r="I155" s="1"/>
      <c r="J155" s="1"/>
      <c r="K155" s="1" t="str">
        <f ca="1">IFERROR(__xludf.DUMMYFUNCTION("""COMPUTED_VALUE""")," ")</f>
        <v xml:space="preserve"> </v>
      </c>
      <c r="L155" s="1" t="str">
        <f ca="1">IFERROR(__xludf.DUMMYFUNCTION("""COMPUTED_VALUE""")," ")</f>
        <v xml:space="preserve"> </v>
      </c>
      <c r="M155" s="1" t="str">
        <f ca="1">IFERROR(__xludf.DUMMYFUNCTION("""COMPUTED_VALUE""")," ")</f>
        <v xml:space="preserve"> </v>
      </c>
      <c r="N155" s="1" t="str">
        <f ca="1">IFERROR(__xludf.DUMMYFUNCTION("""COMPUTED_VALUE""")," ")</f>
        <v xml:space="preserve"> </v>
      </c>
      <c r="O155" s="1"/>
      <c r="P155" s="1"/>
      <c r="Q155" s="1"/>
      <c r="R155" s="1"/>
      <c r="S155" s="1"/>
      <c r="T155" s="1"/>
      <c r="U155" s="1" t="str">
        <f ca="1">IFERROR(__xludf.DUMMYFUNCTION("""COMPUTED_VALUE""")," ")</f>
        <v xml:space="preserve"> </v>
      </c>
      <c r="V155" s="1" t="str">
        <f ca="1">IFERROR(__xludf.DUMMYFUNCTION("""COMPUTED_VALUE""")," ")</f>
        <v xml:space="preserve"> </v>
      </c>
      <c r="W155" s="1" t="str">
        <f ca="1">IFERROR(__xludf.DUMMYFUNCTION("""COMPUTED_VALUE""")," ")</f>
        <v xml:space="preserve"> </v>
      </c>
      <c r="X155" s="1" t="str">
        <f ca="1">IFERROR(__xludf.DUMMYFUNCTION("""COMPUTED_VALUE""")," ")</f>
        <v xml:space="preserve"> </v>
      </c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</row>
    <row r="156" spans="1:62" x14ac:dyDescent="0.25">
      <c r="A156" s="1"/>
      <c r="B156" s="1"/>
      <c r="C156" s="1"/>
      <c r="D156" s="1"/>
      <c r="E156" s="1"/>
      <c r="F156" s="1" t="str">
        <f ca="1">IFERROR(__xludf.DUMMYFUNCTION("""COMPUTED_VALUE""")," ")</f>
        <v xml:space="preserve"> </v>
      </c>
      <c r="G156" s="1"/>
      <c r="H156" s="1"/>
      <c r="I156" s="1"/>
      <c r="J156" s="1"/>
      <c r="K156" s="1" t="str">
        <f ca="1">IFERROR(__xludf.DUMMYFUNCTION("""COMPUTED_VALUE""")," ")</f>
        <v xml:space="preserve"> </v>
      </c>
      <c r="L156" s="1" t="str">
        <f ca="1">IFERROR(__xludf.DUMMYFUNCTION("""COMPUTED_VALUE""")," ")</f>
        <v xml:space="preserve"> </v>
      </c>
      <c r="M156" s="1" t="str">
        <f ca="1">IFERROR(__xludf.DUMMYFUNCTION("""COMPUTED_VALUE""")," ")</f>
        <v xml:space="preserve"> </v>
      </c>
      <c r="N156" s="1" t="str">
        <f ca="1">IFERROR(__xludf.DUMMYFUNCTION("""COMPUTED_VALUE""")," ")</f>
        <v xml:space="preserve"> </v>
      </c>
      <c r="O156" s="1"/>
      <c r="P156" s="1"/>
      <c r="Q156" s="1"/>
      <c r="R156" s="1"/>
      <c r="S156" s="1"/>
      <c r="T156" s="1"/>
      <c r="U156" s="1" t="str">
        <f ca="1">IFERROR(__xludf.DUMMYFUNCTION("""COMPUTED_VALUE""")," ")</f>
        <v xml:space="preserve"> </v>
      </c>
      <c r="V156" s="1" t="str">
        <f ca="1">IFERROR(__xludf.DUMMYFUNCTION("""COMPUTED_VALUE""")," ")</f>
        <v xml:space="preserve"> </v>
      </c>
      <c r="W156" s="1" t="str">
        <f ca="1">IFERROR(__xludf.DUMMYFUNCTION("""COMPUTED_VALUE""")," ")</f>
        <v xml:space="preserve"> </v>
      </c>
      <c r="X156" s="1" t="str">
        <f ca="1">IFERROR(__xludf.DUMMYFUNCTION("""COMPUTED_VALUE""")," ")</f>
        <v xml:space="preserve"> </v>
      </c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</row>
    <row r="157" spans="1:62" x14ac:dyDescent="0.25">
      <c r="A157" s="1"/>
      <c r="B157" s="1"/>
      <c r="C157" s="1"/>
      <c r="D157" s="1"/>
      <c r="E157" s="1"/>
      <c r="F157" s="1" t="str">
        <f ca="1">IFERROR(__xludf.DUMMYFUNCTION("""COMPUTED_VALUE""")," ")</f>
        <v xml:space="preserve"> </v>
      </c>
      <c r="G157" s="1"/>
      <c r="H157" s="1"/>
      <c r="I157" s="1"/>
      <c r="J157" s="1"/>
      <c r="K157" s="1" t="str">
        <f ca="1">IFERROR(__xludf.DUMMYFUNCTION("""COMPUTED_VALUE""")," ")</f>
        <v xml:space="preserve"> </v>
      </c>
      <c r="L157" s="1" t="str">
        <f ca="1">IFERROR(__xludf.DUMMYFUNCTION("""COMPUTED_VALUE""")," ")</f>
        <v xml:space="preserve"> </v>
      </c>
      <c r="M157" s="1" t="str">
        <f ca="1">IFERROR(__xludf.DUMMYFUNCTION("""COMPUTED_VALUE""")," ")</f>
        <v xml:space="preserve"> </v>
      </c>
      <c r="N157" s="1" t="str">
        <f ca="1">IFERROR(__xludf.DUMMYFUNCTION("""COMPUTED_VALUE""")," ")</f>
        <v xml:space="preserve"> </v>
      </c>
      <c r="O157" s="1"/>
      <c r="P157" s="1"/>
      <c r="Q157" s="1"/>
      <c r="R157" s="1"/>
      <c r="S157" s="1"/>
      <c r="T157" s="1"/>
      <c r="U157" s="1" t="str">
        <f ca="1">IFERROR(__xludf.DUMMYFUNCTION("""COMPUTED_VALUE""")," ")</f>
        <v xml:space="preserve"> </v>
      </c>
      <c r="V157" s="1" t="str">
        <f ca="1">IFERROR(__xludf.DUMMYFUNCTION("""COMPUTED_VALUE""")," ")</f>
        <v xml:space="preserve"> </v>
      </c>
      <c r="W157" s="1" t="str">
        <f ca="1">IFERROR(__xludf.DUMMYFUNCTION("""COMPUTED_VALUE""")," ")</f>
        <v xml:space="preserve"> </v>
      </c>
      <c r="X157" s="1" t="str">
        <f ca="1">IFERROR(__xludf.DUMMYFUNCTION("""COMPUTED_VALUE""")," ")</f>
        <v xml:space="preserve"> </v>
      </c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</row>
    <row r="158" spans="1:62" x14ac:dyDescent="0.25">
      <c r="A158" s="1"/>
      <c r="B158" s="1"/>
      <c r="C158" s="1"/>
      <c r="D158" s="1"/>
      <c r="E158" s="1"/>
      <c r="F158" s="1" t="str">
        <f ca="1">IFERROR(__xludf.DUMMYFUNCTION("""COMPUTED_VALUE""")," ")</f>
        <v xml:space="preserve"> </v>
      </c>
      <c r="G158" s="1"/>
      <c r="H158" s="1"/>
      <c r="I158" s="1"/>
      <c r="J158" s="1"/>
      <c r="K158" s="1" t="str">
        <f ca="1">IFERROR(__xludf.DUMMYFUNCTION("""COMPUTED_VALUE""")," ")</f>
        <v xml:space="preserve"> </v>
      </c>
      <c r="L158" s="1" t="str">
        <f ca="1">IFERROR(__xludf.DUMMYFUNCTION("""COMPUTED_VALUE""")," ")</f>
        <v xml:space="preserve"> </v>
      </c>
      <c r="M158" s="1" t="str">
        <f ca="1">IFERROR(__xludf.DUMMYFUNCTION("""COMPUTED_VALUE""")," ")</f>
        <v xml:space="preserve"> </v>
      </c>
      <c r="N158" s="1" t="str">
        <f ca="1">IFERROR(__xludf.DUMMYFUNCTION("""COMPUTED_VALUE""")," ")</f>
        <v xml:space="preserve"> </v>
      </c>
      <c r="O158" s="1"/>
      <c r="P158" s="1"/>
      <c r="Q158" s="1"/>
      <c r="R158" s="1"/>
      <c r="S158" s="1"/>
      <c r="T158" s="1"/>
      <c r="U158" s="1" t="str">
        <f ca="1">IFERROR(__xludf.DUMMYFUNCTION("""COMPUTED_VALUE""")," ")</f>
        <v xml:space="preserve"> </v>
      </c>
      <c r="V158" s="1" t="str">
        <f ca="1">IFERROR(__xludf.DUMMYFUNCTION("""COMPUTED_VALUE""")," ")</f>
        <v xml:space="preserve"> </v>
      </c>
      <c r="W158" s="1" t="str">
        <f ca="1">IFERROR(__xludf.DUMMYFUNCTION("""COMPUTED_VALUE""")," ")</f>
        <v xml:space="preserve"> </v>
      </c>
      <c r="X158" s="1" t="str">
        <f ca="1">IFERROR(__xludf.DUMMYFUNCTION("""COMPUTED_VALUE""")," ")</f>
        <v xml:space="preserve"> </v>
      </c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</row>
    <row r="159" spans="1:62" x14ac:dyDescent="0.25">
      <c r="A159" s="1"/>
      <c r="B159" s="1"/>
      <c r="C159" s="1"/>
      <c r="D159" s="1"/>
      <c r="E159" s="1"/>
      <c r="F159" s="1" t="str">
        <f ca="1">IFERROR(__xludf.DUMMYFUNCTION("""COMPUTED_VALUE""")," ")</f>
        <v xml:space="preserve"> </v>
      </c>
      <c r="G159" s="1"/>
      <c r="H159" s="1"/>
      <c r="I159" s="1"/>
      <c r="J159" s="1"/>
      <c r="K159" s="1" t="str">
        <f ca="1">IFERROR(__xludf.DUMMYFUNCTION("""COMPUTED_VALUE""")," ")</f>
        <v xml:space="preserve"> </v>
      </c>
      <c r="L159" s="1" t="str">
        <f ca="1">IFERROR(__xludf.DUMMYFUNCTION("""COMPUTED_VALUE""")," ")</f>
        <v xml:space="preserve"> </v>
      </c>
      <c r="M159" s="1" t="str">
        <f ca="1">IFERROR(__xludf.DUMMYFUNCTION("""COMPUTED_VALUE""")," ")</f>
        <v xml:space="preserve"> </v>
      </c>
      <c r="N159" s="1" t="str">
        <f ca="1">IFERROR(__xludf.DUMMYFUNCTION("""COMPUTED_VALUE""")," ")</f>
        <v xml:space="preserve"> </v>
      </c>
      <c r="O159" s="1"/>
      <c r="P159" s="1"/>
      <c r="Q159" s="1"/>
      <c r="R159" s="1"/>
      <c r="S159" s="1"/>
      <c r="T159" s="1"/>
      <c r="U159" s="1" t="str">
        <f ca="1">IFERROR(__xludf.DUMMYFUNCTION("""COMPUTED_VALUE""")," ")</f>
        <v xml:space="preserve"> </v>
      </c>
      <c r="V159" s="1" t="str">
        <f ca="1">IFERROR(__xludf.DUMMYFUNCTION("""COMPUTED_VALUE""")," ")</f>
        <v xml:space="preserve"> </v>
      </c>
      <c r="W159" s="1" t="str">
        <f ca="1">IFERROR(__xludf.DUMMYFUNCTION("""COMPUTED_VALUE""")," ")</f>
        <v xml:space="preserve"> </v>
      </c>
      <c r="X159" s="1" t="str">
        <f ca="1">IFERROR(__xludf.DUMMYFUNCTION("""COMPUTED_VALUE""")," ")</f>
        <v xml:space="preserve"> </v>
      </c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</row>
    <row r="160" spans="1:62" x14ac:dyDescent="0.25">
      <c r="A160" s="1"/>
      <c r="B160" s="1"/>
      <c r="C160" s="1"/>
      <c r="D160" s="1"/>
      <c r="E160" s="1"/>
      <c r="F160" s="1" t="str">
        <f ca="1">IFERROR(__xludf.DUMMYFUNCTION("""COMPUTED_VALUE""")," ")</f>
        <v xml:space="preserve"> </v>
      </c>
      <c r="G160" s="1"/>
      <c r="H160" s="1"/>
      <c r="I160" s="1"/>
      <c r="J160" s="1"/>
      <c r="K160" s="1" t="str">
        <f ca="1">IFERROR(__xludf.DUMMYFUNCTION("""COMPUTED_VALUE""")," ")</f>
        <v xml:space="preserve"> </v>
      </c>
      <c r="L160" s="1" t="str">
        <f ca="1">IFERROR(__xludf.DUMMYFUNCTION("""COMPUTED_VALUE""")," ")</f>
        <v xml:space="preserve"> </v>
      </c>
      <c r="M160" s="1" t="str">
        <f ca="1">IFERROR(__xludf.DUMMYFUNCTION("""COMPUTED_VALUE""")," ")</f>
        <v xml:space="preserve"> </v>
      </c>
      <c r="N160" s="1" t="str">
        <f ca="1">IFERROR(__xludf.DUMMYFUNCTION("""COMPUTED_VALUE""")," ")</f>
        <v xml:space="preserve"> </v>
      </c>
      <c r="O160" s="1"/>
      <c r="P160" s="1"/>
      <c r="Q160" s="1"/>
      <c r="R160" s="1"/>
      <c r="S160" s="1"/>
      <c r="T160" s="1"/>
      <c r="U160" s="1" t="str">
        <f ca="1">IFERROR(__xludf.DUMMYFUNCTION("""COMPUTED_VALUE""")," ")</f>
        <v xml:space="preserve"> </v>
      </c>
      <c r="V160" s="1" t="str">
        <f ca="1">IFERROR(__xludf.DUMMYFUNCTION("""COMPUTED_VALUE""")," ")</f>
        <v xml:space="preserve"> </v>
      </c>
      <c r="W160" s="1" t="str">
        <f ca="1">IFERROR(__xludf.DUMMYFUNCTION("""COMPUTED_VALUE""")," ")</f>
        <v xml:space="preserve"> </v>
      </c>
      <c r="X160" s="1" t="str">
        <f ca="1">IFERROR(__xludf.DUMMYFUNCTION("""COMPUTED_VALUE""")," ")</f>
        <v xml:space="preserve"> </v>
      </c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</row>
    <row r="161" spans="1:62" x14ac:dyDescent="0.25">
      <c r="A161" s="1"/>
      <c r="B161" s="1"/>
      <c r="C161" s="1"/>
      <c r="D161" s="1"/>
      <c r="E161" s="1"/>
      <c r="F161" s="1" t="str">
        <f ca="1">IFERROR(__xludf.DUMMYFUNCTION("""COMPUTED_VALUE""")," ")</f>
        <v xml:space="preserve"> </v>
      </c>
      <c r="G161" s="1"/>
      <c r="H161" s="1"/>
      <c r="I161" s="1"/>
      <c r="J161" s="1"/>
      <c r="K161" s="1" t="str">
        <f ca="1">IFERROR(__xludf.DUMMYFUNCTION("""COMPUTED_VALUE""")," ")</f>
        <v xml:space="preserve"> </v>
      </c>
      <c r="L161" s="1" t="str">
        <f ca="1">IFERROR(__xludf.DUMMYFUNCTION("""COMPUTED_VALUE""")," ")</f>
        <v xml:space="preserve"> </v>
      </c>
      <c r="M161" s="1" t="str">
        <f ca="1">IFERROR(__xludf.DUMMYFUNCTION("""COMPUTED_VALUE""")," ")</f>
        <v xml:space="preserve"> </v>
      </c>
      <c r="N161" s="1" t="str">
        <f ca="1">IFERROR(__xludf.DUMMYFUNCTION("""COMPUTED_VALUE""")," ")</f>
        <v xml:space="preserve"> </v>
      </c>
      <c r="O161" s="1"/>
      <c r="P161" s="1"/>
      <c r="Q161" s="1"/>
      <c r="R161" s="1"/>
      <c r="S161" s="1"/>
      <c r="T161" s="1"/>
      <c r="U161" s="1" t="str">
        <f ca="1">IFERROR(__xludf.DUMMYFUNCTION("""COMPUTED_VALUE""")," ")</f>
        <v xml:space="preserve"> </v>
      </c>
      <c r="V161" s="1" t="str">
        <f ca="1">IFERROR(__xludf.DUMMYFUNCTION("""COMPUTED_VALUE""")," ")</f>
        <v xml:space="preserve"> </v>
      </c>
      <c r="W161" s="1" t="str">
        <f ca="1">IFERROR(__xludf.DUMMYFUNCTION("""COMPUTED_VALUE""")," ")</f>
        <v xml:space="preserve"> </v>
      </c>
      <c r="X161" s="1" t="str">
        <f ca="1">IFERROR(__xludf.DUMMYFUNCTION("""COMPUTED_VALUE""")," ")</f>
        <v xml:space="preserve"> </v>
      </c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</row>
    <row r="162" spans="1:62" x14ac:dyDescent="0.25">
      <c r="A162" s="1"/>
      <c r="B162" s="1"/>
      <c r="C162" s="1"/>
      <c r="D162" s="1"/>
      <c r="E162" s="1"/>
      <c r="F162" s="1" t="str">
        <f ca="1">IFERROR(__xludf.DUMMYFUNCTION("""COMPUTED_VALUE""")," ")</f>
        <v xml:space="preserve"> </v>
      </c>
      <c r="G162" s="1"/>
      <c r="H162" s="1"/>
      <c r="I162" s="1"/>
      <c r="J162" s="1"/>
      <c r="K162" s="1" t="str">
        <f ca="1">IFERROR(__xludf.DUMMYFUNCTION("""COMPUTED_VALUE""")," ")</f>
        <v xml:space="preserve"> </v>
      </c>
      <c r="L162" s="1" t="str">
        <f ca="1">IFERROR(__xludf.DUMMYFUNCTION("""COMPUTED_VALUE""")," ")</f>
        <v xml:space="preserve"> </v>
      </c>
      <c r="M162" s="1" t="str">
        <f ca="1">IFERROR(__xludf.DUMMYFUNCTION("""COMPUTED_VALUE""")," ")</f>
        <v xml:space="preserve"> </v>
      </c>
      <c r="N162" s="1" t="str">
        <f ca="1">IFERROR(__xludf.DUMMYFUNCTION("""COMPUTED_VALUE""")," ")</f>
        <v xml:space="preserve"> </v>
      </c>
      <c r="O162" s="1"/>
      <c r="P162" s="1"/>
      <c r="Q162" s="1"/>
      <c r="R162" s="1"/>
      <c r="S162" s="1"/>
      <c r="T162" s="1"/>
      <c r="U162" s="1" t="str">
        <f ca="1">IFERROR(__xludf.DUMMYFUNCTION("""COMPUTED_VALUE""")," ")</f>
        <v xml:space="preserve"> </v>
      </c>
      <c r="V162" s="1" t="str">
        <f ca="1">IFERROR(__xludf.DUMMYFUNCTION("""COMPUTED_VALUE""")," ")</f>
        <v xml:space="preserve"> </v>
      </c>
      <c r="W162" s="1" t="str">
        <f ca="1">IFERROR(__xludf.DUMMYFUNCTION("""COMPUTED_VALUE""")," ")</f>
        <v xml:space="preserve"> </v>
      </c>
      <c r="X162" s="1" t="str">
        <f ca="1">IFERROR(__xludf.DUMMYFUNCTION("""COMPUTED_VALUE""")," ")</f>
        <v xml:space="preserve"> </v>
      </c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</row>
    <row r="163" spans="1:62" x14ac:dyDescent="0.25">
      <c r="A163" s="1"/>
      <c r="B163" s="1"/>
      <c r="C163" s="1"/>
      <c r="D163" s="1"/>
      <c r="E163" s="1"/>
      <c r="F163" s="1" t="str">
        <f ca="1">IFERROR(__xludf.DUMMYFUNCTION("""COMPUTED_VALUE""")," ")</f>
        <v xml:space="preserve"> </v>
      </c>
      <c r="G163" s="1"/>
      <c r="H163" s="1"/>
      <c r="I163" s="1"/>
      <c r="J163" s="1"/>
      <c r="K163" s="1" t="str">
        <f ca="1">IFERROR(__xludf.DUMMYFUNCTION("""COMPUTED_VALUE""")," ")</f>
        <v xml:space="preserve"> </v>
      </c>
      <c r="L163" s="1" t="str">
        <f ca="1">IFERROR(__xludf.DUMMYFUNCTION("""COMPUTED_VALUE""")," ")</f>
        <v xml:space="preserve"> </v>
      </c>
      <c r="M163" s="1" t="str">
        <f ca="1">IFERROR(__xludf.DUMMYFUNCTION("""COMPUTED_VALUE""")," ")</f>
        <v xml:space="preserve"> </v>
      </c>
      <c r="N163" s="1" t="str">
        <f ca="1">IFERROR(__xludf.DUMMYFUNCTION("""COMPUTED_VALUE""")," ")</f>
        <v xml:space="preserve"> </v>
      </c>
      <c r="O163" s="1"/>
      <c r="P163" s="1"/>
      <c r="Q163" s="1"/>
      <c r="R163" s="1"/>
      <c r="S163" s="1"/>
      <c r="T163" s="1"/>
      <c r="U163" s="1" t="str">
        <f ca="1">IFERROR(__xludf.DUMMYFUNCTION("""COMPUTED_VALUE""")," ")</f>
        <v xml:space="preserve"> </v>
      </c>
      <c r="V163" s="1" t="str">
        <f ca="1">IFERROR(__xludf.DUMMYFUNCTION("""COMPUTED_VALUE""")," ")</f>
        <v xml:space="preserve"> </v>
      </c>
      <c r="W163" s="1" t="str">
        <f ca="1">IFERROR(__xludf.DUMMYFUNCTION("""COMPUTED_VALUE""")," ")</f>
        <v xml:space="preserve"> </v>
      </c>
      <c r="X163" s="1" t="str">
        <f ca="1">IFERROR(__xludf.DUMMYFUNCTION("""COMPUTED_VALUE""")," ")</f>
        <v xml:space="preserve"> </v>
      </c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</row>
    <row r="164" spans="1:62" x14ac:dyDescent="0.25">
      <c r="A164" s="1"/>
      <c r="B164" s="1"/>
      <c r="C164" s="1"/>
      <c r="D164" s="1"/>
      <c r="E164" s="1"/>
      <c r="F164" s="1" t="str">
        <f ca="1">IFERROR(__xludf.DUMMYFUNCTION("""COMPUTED_VALUE""")," ")</f>
        <v xml:space="preserve"> </v>
      </c>
      <c r="G164" s="1"/>
      <c r="H164" s="1"/>
      <c r="I164" s="1"/>
      <c r="J164" s="1"/>
      <c r="K164" s="1" t="str">
        <f ca="1">IFERROR(__xludf.DUMMYFUNCTION("""COMPUTED_VALUE""")," ")</f>
        <v xml:space="preserve"> </v>
      </c>
      <c r="L164" s="1" t="str">
        <f ca="1">IFERROR(__xludf.DUMMYFUNCTION("""COMPUTED_VALUE""")," ")</f>
        <v xml:space="preserve"> </v>
      </c>
      <c r="M164" s="1" t="str">
        <f ca="1">IFERROR(__xludf.DUMMYFUNCTION("""COMPUTED_VALUE""")," ")</f>
        <v xml:space="preserve"> </v>
      </c>
      <c r="N164" s="1" t="str">
        <f ca="1">IFERROR(__xludf.DUMMYFUNCTION("""COMPUTED_VALUE""")," ")</f>
        <v xml:space="preserve"> </v>
      </c>
      <c r="O164" s="1"/>
      <c r="P164" s="1"/>
      <c r="Q164" s="1"/>
      <c r="R164" s="1"/>
      <c r="S164" s="1"/>
      <c r="T164" s="1"/>
      <c r="U164" s="1" t="str">
        <f ca="1">IFERROR(__xludf.DUMMYFUNCTION("""COMPUTED_VALUE""")," ")</f>
        <v xml:space="preserve"> </v>
      </c>
      <c r="V164" s="1" t="str">
        <f ca="1">IFERROR(__xludf.DUMMYFUNCTION("""COMPUTED_VALUE""")," ")</f>
        <v xml:space="preserve"> </v>
      </c>
      <c r="W164" s="1" t="str">
        <f ca="1">IFERROR(__xludf.DUMMYFUNCTION("""COMPUTED_VALUE""")," ")</f>
        <v xml:space="preserve"> </v>
      </c>
      <c r="X164" s="1" t="str">
        <f ca="1">IFERROR(__xludf.DUMMYFUNCTION("""COMPUTED_VALUE""")," ")</f>
        <v xml:space="preserve"> </v>
      </c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</row>
    <row r="165" spans="1:62" x14ac:dyDescent="0.25">
      <c r="A165" s="1"/>
      <c r="B165" s="1"/>
      <c r="C165" s="1"/>
      <c r="D165" s="1"/>
      <c r="E165" s="1"/>
      <c r="F165" s="1" t="str">
        <f ca="1">IFERROR(__xludf.DUMMYFUNCTION("""COMPUTED_VALUE""")," ")</f>
        <v xml:space="preserve"> </v>
      </c>
      <c r="G165" s="1"/>
      <c r="H165" s="1"/>
      <c r="I165" s="1"/>
      <c r="J165" s="1"/>
      <c r="K165" s="1" t="str">
        <f ca="1">IFERROR(__xludf.DUMMYFUNCTION("""COMPUTED_VALUE""")," ")</f>
        <v xml:space="preserve"> </v>
      </c>
      <c r="L165" s="1" t="str">
        <f ca="1">IFERROR(__xludf.DUMMYFUNCTION("""COMPUTED_VALUE""")," ")</f>
        <v xml:space="preserve"> </v>
      </c>
      <c r="M165" s="1" t="str">
        <f ca="1">IFERROR(__xludf.DUMMYFUNCTION("""COMPUTED_VALUE""")," ")</f>
        <v xml:space="preserve"> </v>
      </c>
      <c r="N165" s="1" t="str">
        <f ca="1">IFERROR(__xludf.DUMMYFUNCTION("""COMPUTED_VALUE""")," ")</f>
        <v xml:space="preserve"> </v>
      </c>
      <c r="O165" s="1"/>
      <c r="P165" s="1"/>
      <c r="Q165" s="1"/>
      <c r="R165" s="1"/>
      <c r="S165" s="1"/>
      <c r="T165" s="1"/>
      <c r="U165" s="1" t="str">
        <f ca="1">IFERROR(__xludf.DUMMYFUNCTION("""COMPUTED_VALUE""")," ")</f>
        <v xml:space="preserve"> </v>
      </c>
      <c r="V165" s="1" t="str">
        <f ca="1">IFERROR(__xludf.DUMMYFUNCTION("""COMPUTED_VALUE""")," ")</f>
        <v xml:space="preserve"> </v>
      </c>
      <c r="W165" s="1" t="str">
        <f ca="1">IFERROR(__xludf.DUMMYFUNCTION("""COMPUTED_VALUE""")," ")</f>
        <v xml:space="preserve"> </v>
      </c>
      <c r="X165" s="1" t="str">
        <f ca="1">IFERROR(__xludf.DUMMYFUNCTION("""COMPUTED_VALUE""")," ")</f>
        <v xml:space="preserve"> </v>
      </c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</row>
    <row r="166" spans="1:62" x14ac:dyDescent="0.25">
      <c r="A166" s="1"/>
      <c r="B166" s="1"/>
      <c r="C166" s="1"/>
      <c r="D166" s="1"/>
      <c r="E166" s="1"/>
      <c r="F166" s="1" t="str">
        <f ca="1">IFERROR(__xludf.DUMMYFUNCTION("""COMPUTED_VALUE""")," ")</f>
        <v xml:space="preserve"> </v>
      </c>
      <c r="G166" s="1"/>
      <c r="H166" s="1"/>
      <c r="I166" s="1"/>
      <c r="J166" s="1"/>
      <c r="K166" s="1" t="str">
        <f ca="1">IFERROR(__xludf.DUMMYFUNCTION("""COMPUTED_VALUE""")," ")</f>
        <v xml:space="preserve"> </v>
      </c>
      <c r="L166" s="1" t="str">
        <f ca="1">IFERROR(__xludf.DUMMYFUNCTION("""COMPUTED_VALUE""")," ")</f>
        <v xml:space="preserve"> </v>
      </c>
      <c r="M166" s="1" t="str">
        <f ca="1">IFERROR(__xludf.DUMMYFUNCTION("""COMPUTED_VALUE""")," ")</f>
        <v xml:space="preserve"> </v>
      </c>
      <c r="N166" s="1" t="str">
        <f ca="1">IFERROR(__xludf.DUMMYFUNCTION("""COMPUTED_VALUE""")," ")</f>
        <v xml:space="preserve"> </v>
      </c>
      <c r="O166" s="1"/>
      <c r="P166" s="1"/>
      <c r="Q166" s="1"/>
      <c r="R166" s="1"/>
      <c r="S166" s="1"/>
      <c r="T166" s="1"/>
      <c r="U166" s="1" t="str">
        <f ca="1">IFERROR(__xludf.DUMMYFUNCTION("""COMPUTED_VALUE""")," ")</f>
        <v xml:space="preserve"> </v>
      </c>
      <c r="V166" s="1" t="str">
        <f ca="1">IFERROR(__xludf.DUMMYFUNCTION("""COMPUTED_VALUE""")," ")</f>
        <v xml:space="preserve"> </v>
      </c>
      <c r="W166" s="1" t="str">
        <f ca="1">IFERROR(__xludf.DUMMYFUNCTION("""COMPUTED_VALUE""")," ")</f>
        <v xml:space="preserve"> </v>
      </c>
      <c r="X166" s="1" t="str">
        <f ca="1">IFERROR(__xludf.DUMMYFUNCTION("""COMPUTED_VALUE""")," ")</f>
        <v xml:space="preserve"> </v>
      </c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</row>
    <row r="167" spans="1:62" x14ac:dyDescent="0.25">
      <c r="A167" s="1"/>
      <c r="B167" s="1"/>
      <c r="C167" s="1"/>
      <c r="D167" s="1"/>
      <c r="E167" s="1"/>
      <c r="F167" s="1" t="str">
        <f ca="1">IFERROR(__xludf.DUMMYFUNCTION("""COMPUTED_VALUE""")," ")</f>
        <v xml:space="preserve"> </v>
      </c>
      <c r="G167" s="1"/>
      <c r="H167" s="1"/>
      <c r="I167" s="1"/>
      <c r="J167" s="1"/>
      <c r="K167" s="1" t="str">
        <f ca="1">IFERROR(__xludf.DUMMYFUNCTION("""COMPUTED_VALUE""")," ")</f>
        <v xml:space="preserve"> </v>
      </c>
      <c r="L167" s="1" t="str">
        <f ca="1">IFERROR(__xludf.DUMMYFUNCTION("""COMPUTED_VALUE""")," ")</f>
        <v xml:space="preserve"> </v>
      </c>
      <c r="M167" s="1" t="str">
        <f ca="1">IFERROR(__xludf.DUMMYFUNCTION("""COMPUTED_VALUE""")," ")</f>
        <v xml:space="preserve"> </v>
      </c>
      <c r="N167" s="1" t="str">
        <f ca="1">IFERROR(__xludf.DUMMYFUNCTION("""COMPUTED_VALUE""")," ")</f>
        <v xml:space="preserve"> </v>
      </c>
      <c r="O167" s="1"/>
      <c r="P167" s="1"/>
      <c r="Q167" s="1"/>
      <c r="R167" s="1"/>
      <c r="S167" s="1"/>
      <c r="T167" s="1"/>
      <c r="U167" s="1" t="str">
        <f ca="1">IFERROR(__xludf.DUMMYFUNCTION("""COMPUTED_VALUE""")," ")</f>
        <v xml:space="preserve"> </v>
      </c>
      <c r="V167" s="1" t="str">
        <f ca="1">IFERROR(__xludf.DUMMYFUNCTION("""COMPUTED_VALUE""")," ")</f>
        <v xml:space="preserve"> </v>
      </c>
      <c r="W167" s="1" t="str">
        <f ca="1">IFERROR(__xludf.DUMMYFUNCTION("""COMPUTED_VALUE""")," ")</f>
        <v xml:space="preserve"> </v>
      </c>
      <c r="X167" s="1" t="str">
        <f ca="1">IFERROR(__xludf.DUMMYFUNCTION("""COMPUTED_VALUE""")," ")</f>
        <v xml:space="preserve"> </v>
      </c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</row>
    <row r="168" spans="1:62" x14ac:dyDescent="0.25">
      <c r="A168" s="1"/>
      <c r="B168" s="1"/>
      <c r="C168" s="1"/>
      <c r="D168" s="1"/>
      <c r="E168" s="1"/>
      <c r="F168" s="1" t="str">
        <f ca="1">IFERROR(__xludf.DUMMYFUNCTION("""COMPUTED_VALUE""")," ")</f>
        <v xml:space="preserve"> </v>
      </c>
      <c r="G168" s="1"/>
      <c r="H168" s="1"/>
      <c r="I168" s="1"/>
      <c r="J168" s="1"/>
      <c r="K168" s="1" t="str">
        <f ca="1">IFERROR(__xludf.DUMMYFUNCTION("""COMPUTED_VALUE""")," ")</f>
        <v xml:space="preserve"> </v>
      </c>
      <c r="L168" s="1" t="str">
        <f ca="1">IFERROR(__xludf.DUMMYFUNCTION("""COMPUTED_VALUE""")," ")</f>
        <v xml:space="preserve"> </v>
      </c>
      <c r="M168" s="1" t="str">
        <f ca="1">IFERROR(__xludf.DUMMYFUNCTION("""COMPUTED_VALUE""")," ")</f>
        <v xml:space="preserve"> </v>
      </c>
      <c r="N168" s="1" t="str">
        <f ca="1">IFERROR(__xludf.DUMMYFUNCTION("""COMPUTED_VALUE""")," ")</f>
        <v xml:space="preserve"> </v>
      </c>
      <c r="O168" s="1"/>
      <c r="P168" s="1"/>
      <c r="Q168" s="1"/>
      <c r="R168" s="1"/>
      <c r="S168" s="1"/>
      <c r="T168" s="1"/>
      <c r="U168" s="1" t="str">
        <f ca="1">IFERROR(__xludf.DUMMYFUNCTION("""COMPUTED_VALUE""")," ")</f>
        <v xml:space="preserve"> </v>
      </c>
      <c r="V168" s="1" t="str">
        <f ca="1">IFERROR(__xludf.DUMMYFUNCTION("""COMPUTED_VALUE""")," ")</f>
        <v xml:space="preserve"> </v>
      </c>
      <c r="W168" s="1" t="str">
        <f ca="1">IFERROR(__xludf.DUMMYFUNCTION("""COMPUTED_VALUE""")," ")</f>
        <v xml:space="preserve"> </v>
      </c>
      <c r="X168" s="1" t="str">
        <f ca="1">IFERROR(__xludf.DUMMYFUNCTION("""COMPUTED_VALUE""")," ")</f>
        <v xml:space="preserve"> </v>
      </c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</row>
    <row r="169" spans="1:62" x14ac:dyDescent="0.25">
      <c r="A169" s="1"/>
      <c r="B169" s="1"/>
      <c r="C169" s="1"/>
      <c r="D169" s="1"/>
      <c r="E169" s="1"/>
      <c r="F169" s="1" t="str">
        <f ca="1">IFERROR(__xludf.DUMMYFUNCTION("""COMPUTED_VALUE""")," ")</f>
        <v xml:space="preserve"> </v>
      </c>
      <c r="G169" s="1"/>
      <c r="H169" s="1"/>
      <c r="I169" s="1"/>
      <c r="J169" s="1"/>
      <c r="K169" s="1" t="str">
        <f ca="1">IFERROR(__xludf.DUMMYFUNCTION("""COMPUTED_VALUE""")," ")</f>
        <v xml:space="preserve"> </v>
      </c>
      <c r="L169" s="1" t="str">
        <f ca="1">IFERROR(__xludf.DUMMYFUNCTION("""COMPUTED_VALUE""")," ")</f>
        <v xml:space="preserve"> </v>
      </c>
      <c r="M169" s="1" t="str">
        <f ca="1">IFERROR(__xludf.DUMMYFUNCTION("""COMPUTED_VALUE""")," ")</f>
        <v xml:space="preserve"> </v>
      </c>
      <c r="N169" s="1" t="str">
        <f ca="1">IFERROR(__xludf.DUMMYFUNCTION("""COMPUTED_VALUE""")," ")</f>
        <v xml:space="preserve"> </v>
      </c>
      <c r="O169" s="1"/>
      <c r="P169" s="1"/>
      <c r="Q169" s="1"/>
      <c r="R169" s="1"/>
      <c r="S169" s="1"/>
      <c r="T169" s="1"/>
      <c r="U169" s="1" t="str">
        <f ca="1">IFERROR(__xludf.DUMMYFUNCTION("""COMPUTED_VALUE""")," ")</f>
        <v xml:space="preserve"> </v>
      </c>
      <c r="V169" s="1" t="str">
        <f ca="1">IFERROR(__xludf.DUMMYFUNCTION("""COMPUTED_VALUE""")," ")</f>
        <v xml:space="preserve"> </v>
      </c>
      <c r="W169" s="1" t="str">
        <f ca="1">IFERROR(__xludf.DUMMYFUNCTION("""COMPUTED_VALUE""")," ")</f>
        <v xml:space="preserve"> </v>
      </c>
      <c r="X169" s="1" t="str">
        <f ca="1">IFERROR(__xludf.DUMMYFUNCTION("""COMPUTED_VALUE""")," ")</f>
        <v xml:space="preserve"> </v>
      </c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</row>
    <row r="170" spans="1:62" x14ac:dyDescent="0.25">
      <c r="A170" s="1"/>
      <c r="B170" s="1"/>
      <c r="C170" s="1"/>
      <c r="D170" s="1"/>
      <c r="E170" s="1"/>
      <c r="F170" s="1" t="str">
        <f ca="1">IFERROR(__xludf.DUMMYFUNCTION("""COMPUTED_VALUE""")," ")</f>
        <v xml:space="preserve"> </v>
      </c>
      <c r="G170" s="1"/>
      <c r="H170" s="1"/>
      <c r="I170" s="1"/>
      <c r="J170" s="1"/>
      <c r="K170" s="1" t="str">
        <f ca="1">IFERROR(__xludf.DUMMYFUNCTION("""COMPUTED_VALUE""")," ")</f>
        <v xml:space="preserve"> </v>
      </c>
      <c r="L170" s="1" t="str">
        <f ca="1">IFERROR(__xludf.DUMMYFUNCTION("""COMPUTED_VALUE""")," ")</f>
        <v xml:space="preserve"> </v>
      </c>
      <c r="M170" s="1" t="str">
        <f ca="1">IFERROR(__xludf.DUMMYFUNCTION("""COMPUTED_VALUE""")," ")</f>
        <v xml:space="preserve"> </v>
      </c>
      <c r="N170" s="1" t="str">
        <f ca="1">IFERROR(__xludf.DUMMYFUNCTION("""COMPUTED_VALUE""")," ")</f>
        <v xml:space="preserve"> </v>
      </c>
      <c r="O170" s="1"/>
      <c r="P170" s="1"/>
      <c r="Q170" s="1"/>
      <c r="R170" s="1"/>
      <c r="S170" s="1"/>
      <c r="T170" s="1"/>
      <c r="U170" s="1" t="str">
        <f ca="1">IFERROR(__xludf.DUMMYFUNCTION("""COMPUTED_VALUE""")," ")</f>
        <v xml:space="preserve"> </v>
      </c>
      <c r="V170" s="1" t="str">
        <f ca="1">IFERROR(__xludf.DUMMYFUNCTION("""COMPUTED_VALUE""")," ")</f>
        <v xml:space="preserve"> </v>
      </c>
      <c r="W170" s="1" t="str">
        <f ca="1">IFERROR(__xludf.DUMMYFUNCTION("""COMPUTED_VALUE""")," ")</f>
        <v xml:space="preserve"> </v>
      </c>
      <c r="X170" s="1" t="str">
        <f ca="1">IFERROR(__xludf.DUMMYFUNCTION("""COMPUTED_VALUE""")," ")</f>
        <v xml:space="preserve"> </v>
      </c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</row>
    <row r="171" spans="1:62" x14ac:dyDescent="0.25">
      <c r="A171" s="1"/>
      <c r="B171" s="1"/>
      <c r="C171" s="1"/>
      <c r="D171" s="1"/>
      <c r="E171" s="1"/>
      <c r="F171" s="1" t="str">
        <f ca="1">IFERROR(__xludf.DUMMYFUNCTION("""COMPUTED_VALUE""")," ")</f>
        <v xml:space="preserve"> </v>
      </c>
      <c r="G171" s="1"/>
      <c r="H171" s="1"/>
      <c r="I171" s="1"/>
      <c r="J171" s="1"/>
      <c r="K171" s="1" t="str">
        <f ca="1">IFERROR(__xludf.DUMMYFUNCTION("""COMPUTED_VALUE""")," ")</f>
        <v xml:space="preserve"> </v>
      </c>
      <c r="L171" s="1" t="str">
        <f ca="1">IFERROR(__xludf.DUMMYFUNCTION("""COMPUTED_VALUE""")," ")</f>
        <v xml:space="preserve"> </v>
      </c>
      <c r="M171" s="1" t="str">
        <f ca="1">IFERROR(__xludf.DUMMYFUNCTION("""COMPUTED_VALUE""")," ")</f>
        <v xml:space="preserve"> </v>
      </c>
      <c r="N171" s="1" t="str">
        <f ca="1">IFERROR(__xludf.DUMMYFUNCTION("""COMPUTED_VALUE""")," ")</f>
        <v xml:space="preserve"> </v>
      </c>
      <c r="O171" s="1"/>
      <c r="P171" s="1"/>
      <c r="Q171" s="1"/>
      <c r="R171" s="1"/>
      <c r="S171" s="1"/>
      <c r="T171" s="1"/>
      <c r="U171" s="1" t="str">
        <f ca="1">IFERROR(__xludf.DUMMYFUNCTION("""COMPUTED_VALUE""")," ")</f>
        <v xml:space="preserve"> </v>
      </c>
      <c r="V171" s="1" t="str">
        <f ca="1">IFERROR(__xludf.DUMMYFUNCTION("""COMPUTED_VALUE""")," ")</f>
        <v xml:space="preserve"> </v>
      </c>
      <c r="W171" s="1" t="str">
        <f ca="1">IFERROR(__xludf.DUMMYFUNCTION("""COMPUTED_VALUE""")," ")</f>
        <v xml:space="preserve"> </v>
      </c>
      <c r="X171" s="1" t="str">
        <f ca="1">IFERROR(__xludf.DUMMYFUNCTION("""COMPUTED_VALUE""")," ")</f>
        <v xml:space="preserve"> </v>
      </c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</row>
    <row r="172" spans="1:62" x14ac:dyDescent="0.25">
      <c r="A172" s="1"/>
      <c r="B172" s="1"/>
      <c r="C172" s="1"/>
      <c r="D172" s="1"/>
      <c r="E172" s="1"/>
      <c r="F172" s="1" t="str">
        <f ca="1">IFERROR(__xludf.DUMMYFUNCTION("""COMPUTED_VALUE""")," ")</f>
        <v xml:space="preserve"> </v>
      </c>
      <c r="G172" s="1"/>
      <c r="H172" s="1"/>
      <c r="I172" s="1"/>
      <c r="J172" s="1"/>
      <c r="K172" s="1" t="str">
        <f ca="1">IFERROR(__xludf.DUMMYFUNCTION("""COMPUTED_VALUE""")," ")</f>
        <v xml:space="preserve"> </v>
      </c>
      <c r="L172" s="1" t="str">
        <f ca="1">IFERROR(__xludf.DUMMYFUNCTION("""COMPUTED_VALUE""")," ")</f>
        <v xml:space="preserve"> </v>
      </c>
      <c r="M172" s="1" t="str">
        <f ca="1">IFERROR(__xludf.DUMMYFUNCTION("""COMPUTED_VALUE""")," ")</f>
        <v xml:space="preserve"> </v>
      </c>
      <c r="N172" s="1" t="str">
        <f ca="1">IFERROR(__xludf.DUMMYFUNCTION("""COMPUTED_VALUE""")," ")</f>
        <v xml:space="preserve"> </v>
      </c>
      <c r="O172" s="1"/>
      <c r="P172" s="1"/>
      <c r="Q172" s="1"/>
      <c r="R172" s="1"/>
      <c r="S172" s="1"/>
      <c r="T172" s="1"/>
      <c r="U172" s="1" t="str">
        <f ca="1">IFERROR(__xludf.DUMMYFUNCTION("""COMPUTED_VALUE""")," ")</f>
        <v xml:space="preserve"> </v>
      </c>
      <c r="V172" s="1" t="str">
        <f ca="1">IFERROR(__xludf.DUMMYFUNCTION("""COMPUTED_VALUE""")," ")</f>
        <v xml:space="preserve"> </v>
      </c>
      <c r="W172" s="1" t="str">
        <f ca="1">IFERROR(__xludf.DUMMYFUNCTION("""COMPUTED_VALUE""")," ")</f>
        <v xml:space="preserve"> </v>
      </c>
      <c r="X172" s="1" t="str">
        <f ca="1">IFERROR(__xludf.DUMMYFUNCTION("""COMPUTED_VALUE""")," ")</f>
        <v xml:space="preserve"> </v>
      </c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</row>
    <row r="173" spans="1:62" x14ac:dyDescent="0.25">
      <c r="A173" s="1"/>
      <c r="B173" s="1"/>
      <c r="C173" s="1"/>
      <c r="D173" s="1"/>
      <c r="E173" s="1"/>
      <c r="F173" s="1" t="str">
        <f ca="1">IFERROR(__xludf.DUMMYFUNCTION("""COMPUTED_VALUE""")," ")</f>
        <v xml:space="preserve"> </v>
      </c>
      <c r="G173" s="1"/>
      <c r="H173" s="1"/>
      <c r="I173" s="1"/>
      <c r="J173" s="1"/>
      <c r="K173" s="1" t="str">
        <f ca="1">IFERROR(__xludf.DUMMYFUNCTION("""COMPUTED_VALUE""")," ")</f>
        <v xml:space="preserve"> </v>
      </c>
      <c r="L173" s="1" t="str">
        <f ca="1">IFERROR(__xludf.DUMMYFUNCTION("""COMPUTED_VALUE""")," ")</f>
        <v xml:space="preserve"> </v>
      </c>
      <c r="M173" s="1" t="str">
        <f ca="1">IFERROR(__xludf.DUMMYFUNCTION("""COMPUTED_VALUE""")," ")</f>
        <v xml:space="preserve"> </v>
      </c>
      <c r="N173" s="1" t="str">
        <f ca="1">IFERROR(__xludf.DUMMYFUNCTION("""COMPUTED_VALUE""")," ")</f>
        <v xml:space="preserve"> </v>
      </c>
      <c r="O173" s="1"/>
      <c r="P173" s="1"/>
      <c r="Q173" s="1"/>
      <c r="R173" s="1"/>
      <c r="S173" s="1"/>
      <c r="T173" s="1"/>
      <c r="U173" s="1" t="str">
        <f ca="1">IFERROR(__xludf.DUMMYFUNCTION("""COMPUTED_VALUE""")," ")</f>
        <v xml:space="preserve"> </v>
      </c>
      <c r="V173" s="1" t="str">
        <f ca="1">IFERROR(__xludf.DUMMYFUNCTION("""COMPUTED_VALUE""")," ")</f>
        <v xml:space="preserve"> </v>
      </c>
      <c r="W173" s="1" t="str">
        <f ca="1">IFERROR(__xludf.DUMMYFUNCTION("""COMPUTED_VALUE""")," ")</f>
        <v xml:space="preserve"> </v>
      </c>
      <c r="X173" s="1" t="str">
        <f ca="1">IFERROR(__xludf.DUMMYFUNCTION("""COMPUTED_VALUE""")," ")</f>
        <v xml:space="preserve"> </v>
      </c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</row>
    <row r="174" spans="1:62" x14ac:dyDescent="0.25">
      <c r="A174" s="1"/>
      <c r="B174" s="1"/>
      <c r="C174" s="1"/>
      <c r="D174" s="1"/>
      <c r="E174" s="1"/>
      <c r="F174" s="1" t="str">
        <f ca="1">IFERROR(__xludf.DUMMYFUNCTION("""COMPUTED_VALUE""")," ")</f>
        <v xml:space="preserve"> </v>
      </c>
      <c r="G174" s="1"/>
      <c r="H174" s="1"/>
      <c r="I174" s="1"/>
      <c r="J174" s="1"/>
      <c r="K174" s="1" t="str">
        <f ca="1">IFERROR(__xludf.DUMMYFUNCTION("""COMPUTED_VALUE""")," ")</f>
        <v xml:space="preserve"> </v>
      </c>
      <c r="L174" s="1" t="str">
        <f ca="1">IFERROR(__xludf.DUMMYFUNCTION("""COMPUTED_VALUE""")," ")</f>
        <v xml:space="preserve"> </v>
      </c>
      <c r="M174" s="1" t="str">
        <f ca="1">IFERROR(__xludf.DUMMYFUNCTION("""COMPUTED_VALUE""")," ")</f>
        <v xml:space="preserve"> </v>
      </c>
      <c r="N174" s="1" t="str">
        <f ca="1">IFERROR(__xludf.DUMMYFUNCTION("""COMPUTED_VALUE""")," ")</f>
        <v xml:space="preserve"> </v>
      </c>
      <c r="O174" s="1"/>
      <c r="P174" s="1"/>
      <c r="Q174" s="1"/>
      <c r="R174" s="1"/>
      <c r="S174" s="1"/>
      <c r="T174" s="1"/>
      <c r="U174" s="1" t="str">
        <f ca="1">IFERROR(__xludf.DUMMYFUNCTION("""COMPUTED_VALUE""")," ")</f>
        <v xml:space="preserve"> </v>
      </c>
      <c r="V174" s="1" t="str">
        <f ca="1">IFERROR(__xludf.DUMMYFUNCTION("""COMPUTED_VALUE""")," ")</f>
        <v xml:space="preserve"> </v>
      </c>
      <c r="W174" s="1" t="str">
        <f ca="1">IFERROR(__xludf.DUMMYFUNCTION("""COMPUTED_VALUE""")," ")</f>
        <v xml:space="preserve"> </v>
      </c>
      <c r="X174" s="1" t="str">
        <f ca="1">IFERROR(__xludf.DUMMYFUNCTION("""COMPUTED_VALUE""")," ")</f>
        <v xml:space="preserve"> </v>
      </c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</row>
    <row r="175" spans="1:62" x14ac:dyDescent="0.25">
      <c r="A175" s="1"/>
      <c r="B175" s="1"/>
      <c r="C175" s="1"/>
      <c r="D175" s="1"/>
      <c r="E175" s="1"/>
      <c r="F175" s="1" t="str">
        <f ca="1">IFERROR(__xludf.DUMMYFUNCTION("""COMPUTED_VALUE""")," ")</f>
        <v xml:space="preserve"> </v>
      </c>
      <c r="G175" s="1"/>
      <c r="H175" s="1"/>
      <c r="I175" s="1"/>
      <c r="J175" s="1"/>
      <c r="K175" s="1" t="str">
        <f ca="1">IFERROR(__xludf.DUMMYFUNCTION("""COMPUTED_VALUE""")," ")</f>
        <v xml:space="preserve"> </v>
      </c>
      <c r="L175" s="1" t="str">
        <f ca="1">IFERROR(__xludf.DUMMYFUNCTION("""COMPUTED_VALUE""")," ")</f>
        <v xml:space="preserve"> </v>
      </c>
      <c r="M175" s="1" t="str">
        <f ca="1">IFERROR(__xludf.DUMMYFUNCTION("""COMPUTED_VALUE""")," ")</f>
        <v xml:space="preserve"> </v>
      </c>
      <c r="N175" s="1" t="str">
        <f ca="1">IFERROR(__xludf.DUMMYFUNCTION("""COMPUTED_VALUE""")," ")</f>
        <v xml:space="preserve"> </v>
      </c>
      <c r="O175" s="1"/>
      <c r="P175" s="1"/>
      <c r="Q175" s="1"/>
      <c r="R175" s="1"/>
      <c r="S175" s="1"/>
      <c r="T175" s="1"/>
      <c r="U175" s="1" t="str">
        <f ca="1">IFERROR(__xludf.DUMMYFUNCTION("""COMPUTED_VALUE""")," ")</f>
        <v xml:space="preserve"> </v>
      </c>
      <c r="V175" s="1" t="str">
        <f ca="1">IFERROR(__xludf.DUMMYFUNCTION("""COMPUTED_VALUE""")," ")</f>
        <v xml:space="preserve"> </v>
      </c>
      <c r="W175" s="1" t="str">
        <f ca="1">IFERROR(__xludf.DUMMYFUNCTION("""COMPUTED_VALUE""")," ")</f>
        <v xml:space="preserve"> </v>
      </c>
      <c r="X175" s="1" t="str">
        <f ca="1">IFERROR(__xludf.DUMMYFUNCTION("""COMPUTED_VALUE""")," ")</f>
        <v xml:space="preserve"> </v>
      </c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</row>
    <row r="176" spans="1:62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 t="str">
        <f ca="1">IFERROR(__xludf.DUMMYFUNCTION("""COMPUTED_VALUE""")," ")</f>
        <v xml:space="preserve"> </v>
      </c>
      <c r="L176" s="1" t="str">
        <f ca="1">IFERROR(__xludf.DUMMYFUNCTION("""COMPUTED_VALUE""")," ")</f>
        <v xml:space="preserve"> </v>
      </c>
      <c r="M176" s="1" t="str">
        <f ca="1">IFERROR(__xludf.DUMMYFUNCTION("""COMPUTED_VALUE""")," ")</f>
        <v xml:space="preserve"> </v>
      </c>
      <c r="N176" s="1" t="str">
        <f ca="1">IFERROR(__xludf.DUMMYFUNCTION("""COMPUTED_VALUE""")," ")</f>
        <v xml:space="preserve"> </v>
      </c>
      <c r="O176" s="1"/>
      <c r="P176" s="1"/>
      <c r="Q176" s="1"/>
      <c r="R176" s="1"/>
      <c r="S176" s="1"/>
      <c r="T176" s="1"/>
      <c r="U176" s="1" t="str">
        <f ca="1">IFERROR(__xludf.DUMMYFUNCTION("""COMPUTED_VALUE""")," ")</f>
        <v xml:space="preserve"> </v>
      </c>
      <c r="V176" s="1" t="str">
        <f ca="1">IFERROR(__xludf.DUMMYFUNCTION("""COMPUTED_VALUE""")," ")</f>
        <v xml:space="preserve"> </v>
      </c>
      <c r="W176" s="1" t="str">
        <f ca="1">IFERROR(__xludf.DUMMYFUNCTION("""COMPUTED_VALUE""")," ")</f>
        <v xml:space="preserve"> </v>
      </c>
      <c r="X176" s="1" t="str">
        <f ca="1">IFERROR(__xludf.DUMMYFUNCTION("""COMPUTED_VALUE""")," ")</f>
        <v xml:space="preserve"> </v>
      </c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</row>
    <row r="177" spans="1:62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 t="str">
        <f ca="1">IFERROR(__xludf.DUMMYFUNCTION("""COMPUTED_VALUE""")," ")</f>
        <v xml:space="preserve"> </v>
      </c>
      <c r="L177" s="1" t="str">
        <f ca="1">IFERROR(__xludf.DUMMYFUNCTION("""COMPUTED_VALUE""")," ")</f>
        <v xml:space="preserve"> </v>
      </c>
      <c r="M177" s="1" t="str">
        <f ca="1">IFERROR(__xludf.DUMMYFUNCTION("""COMPUTED_VALUE""")," ")</f>
        <v xml:space="preserve"> </v>
      </c>
      <c r="N177" s="1" t="str">
        <f ca="1">IFERROR(__xludf.DUMMYFUNCTION("""COMPUTED_VALUE""")," ")</f>
        <v xml:space="preserve"> </v>
      </c>
      <c r="O177" s="1"/>
      <c r="P177" s="1"/>
      <c r="Q177" s="1"/>
      <c r="R177" s="1"/>
      <c r="S177" s="1"/>
      <c r="T177" s="1"/>
      <c r="U177" s="1" t="str">
        <f ca="1">IFERROR(__xludf.DUMMYFUNCTION("""COMPUTED_VALUE""")," ")</f>
        <v xml:space="preserve"> </v>
      </c>
      <c r="V177" s="1" t="str">
        <f ca="1">IFERROR(__xludf.DUMMYFUNCTION("""COMPUTED_VALUE""")," ")</f>
        <v xml:space="preserve"> </v>
      </c>
      <c r="W177" s="1" t="str">
        <f ca="1">IFERROR(__xludf.DUMMYFUNCTION("""COMPUTED_VALUE""")," ")</f>
        <v xml:space="preserve"> </v>
      </c>
      <c r="X177" s="1" t="str">
        <f ca="1">IFERROR(__xludf.DUMMYFUNCTION("""COMPUTED_VALUE""")," ")</f>
        <v xml:space="preserve"> </v>
      </c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</row>
    <row r="178" spans="1:62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 t="str">
        <f ca="1">IFERROR(__xludf.DUMMYFUNCTION("""COMPUTED_VALUE""")," ")</f>
        <v xml:space="preserve"> </v>
      </c>
      <c r="L178" s="1" t="str">
        <f ca="1">IFERROR(__xludf.DUMMYFUNCTION("""COMPUTED_VALUE""")," ")</f>
        <v xml:space="preserve"> </v>
      </c>
      <c r="M178" s="1" t="str">
        <f ca="1">IFERROR(__xludf.DUMMYFUNCTION("""COMPUTED_VALUE""")," ")</f>
        <v xml:space="preserve"> </v>
      </c>
      <c r="N178" s="1" t="str">
        <f ca="1">IFERROR(__xludf.DUMMYFUNCTION("""COMPUTED_VALUE""")," ")</f>
        <v xml:space="preserve"> </v>
      </c>
      <c r="O178" s="1"/>
      <c r="P178" s="1"/>
      <c r="Q178" s="1"/>
      <c r="R178" s="1"/>
      <c r="S178" s="1"/>
      <c r="T178" s="1"/>
      <c r="U178" s="1" t="str">
        <f ca="1">IFERROR(__xludf.DUMMYFUNCTION("""COMPUTED_VALUE""")," ")</f>
        <v xml:space="preserve"> </v>
      </c>
      <c r="V178" s="1" t="str">
        <f ca="1">IFERROR(__xludf.DUMMYFUNCTION("""COMPUTED_VALUE""")," ")</f>
        <v xml:space="preserve"> </v>
      </c>
      <c r="W178" s="1" t="str">
        <f ca="1">IFERROR(__xludf.DUMMYFUNCTION("""COMPUTED_VALUE""")," ")</f>
        <v xml:space="preserve"> </v>
      </c>
      <c r="X178" s="1" t="str">
        <f ca="1">IFERROR(__xludf.DUMMYFUNCTION("""COMPUTED_VALUE""")," ")</f>
        <v xml:space="preserve"> </v>
      </c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</row>
    <row r="179" spans="1:62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 t="str">
        <f ca="1">IFERROR(__xludf.DUMMYFUNCTION("""COMPUTED_VALUE""")," ")</f>
        <v xml:space="preserve"> </v>
      </c>
      <c r="L179" s="1" t="str">
        <f ca="1">IFERROR(__xludf.DUMMYFUNCTION("""COMPUTED_VALUE""")," ")</f>
        <v xml:space="preserve"> </v>
      </c>
      <c r="M179" s="1" t="str">
        <f ca="1">IFERROR(__xludf.DUMMYFUNCTION("""COMPUTED_VALUE""")," ")</f>
        <v xml:space="preserve"> </v>
      </c>
      <c r="N179" s="1" t="str">
        <f ca="1">IFERROR(__xludf.DUMMYFUNCTION("""COMPUTED_VALUE""")," ")</f>
        <v xml:space="preserve"> </v>
      </c>
      <c r="O179" s="1"/>
      <c r="P179" s="1"/>
      <c r="Q179" s="1"/>
      <c r="R179" s="1"/>
      <c r="S179" s="1"/>
      <c r="T179" s="1"/>
      <c r="U179" s="1" t="str">
        <f ca="1">IFERROR(__xludf.DUMMYFUNCTION("""COMPUTED_VALUE""")," ")</f>
        <v xml:space="preserve"> </v>
      </c>
      <c r="V179" s="1" t="str">
        <f ca="1">IFERROR(__xludf.DUMMYFUNCTION("""COMPUTED_VALUE""")," ")</f>
        <v xml:space="preserve"> </v>
      </c>
      <c r="W179" s="1" t="str">
        <f ca="1">IFERROR(__xludf.DUMMYFUNCTION("""COMPUTED_VALUE""")," ")</f>
        <v xml:space="preserve"> </v>
      </c>
      <c r="X179" s="1" t="str">
        <f ca="1">IFERROR(__xludf.DUMMYFUNCTION("""COMPUTED_VALUE""")," ")</f>
        <v xml:space="preserve"> </v>
      </c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</row>
    <row r="180" spans="1:62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 t="str">
        <f ca="1">IFERROR(__xludf.DUMMYFUNCTION("""COMPUTED_VALUE""")," ")</f>
        <v xml:space="preserve"> </v>
      </c>
      <c r="L180" s="1" t="str">
        <f ca="1">IFERROR(__xludf.DUMMYFUNCTION("""COMPUTED_VALUE""")," ")</f>
        <v xml:space="preserve"> </v>
      </c>
      <c r="M180" s="1" t="str">
        <f ca="1">IFERROR(__xludf.DUMMYFUNCTION("""COMPUTED_VALUE""")," ")</f>
        <v xml:space="preserve"> </v>
      </c>
      <c r="N180" s="1" t="str">
        <f ca="1">IFERROR(__xludf.DUMMYFUNCTION("""COMPUTED_VALUE""")," ")</f>
        <v xml:space="preserve"> </v>
      </c>
      <c r="O180" s="1"/>
      <c r="P180" s="1"/>
      <c r="Q180" s="1"/>
      <c r="R180" s="1"/>
      <c r="S180" s="1"/>
      <c r="T180" s="1"/>
      <c r="U180" s="1" t="str">
        <f ca="1">IFERROR(__xludf.DUMMYFUNCTION("""COMPUTED_VALUE""")," ")</f>
        <v xml:space="preserve"> </v>
      </c>
      <c r="V180" s="1" t="str">
        <f ca="1">IFERROR(__xludf.DUMMYFUNCTION("""COMPUTED_VALUE""")," ")</f>
        <v xml:space="preserve"> </v>
      </c>
      <c r="W180" s="1" t="str">
        <f ca="1">IFERROR(__xludf.DUMMYFUNCTION("""COMPUTED_VALUE""")," ")</f>
        <v xml:space="preserve"> </v>
      </c>
      <c r="X180" s="1" t="str">
        <f ca="1">IFERROR(__xludf.DUMMYFUNCTION("""COMPUTED_VALUE""")," ")</f>
        <v xml:space="preserve"> </v>
      </c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</row>
    <row r="181" spans="1:62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 t="str">
        <f ca="1">IFERROR(__xludf.DUMMYFUNCTION("""COMPUTED_VALUE""")," ")</f>
        <v xml:space="preserve"> </v>
      </c>
      <c r="L181" s="1" t="str">
        <f ca="1">IFERROR(__xludf.DUMMYFUNCTION("""COMPUTED_VALUE""")," ")</f>
        <v xml:space="preserve"> </v>
      </c>
      <c r="M181" s="1" t="str">
        <f ca="1">IFERROR(__xludf.DUMMYFUNCTION("""COMPUTED_VALUE""")," ")</f>
        <v xml:space="preserve"> </v>
      </c>
      <c r="N181" s="1" t="str">
        <f ca="1">IFERROR(__xludf.DUMMYFUNCTION("""COMPUTED_VALUE""")," ")</f>
        <v xml:space="preserve"> </v>
      </c>
      <c r="O181" s="1"/>
      <c r="P181" s="1"/>
      <c r="Q181" s="1"/>
      <c r="R181" s="1"/>
      <c r="S181" s="1"/>
      <c r="T181" s="1"/>
      <c r="U181" s="1" t="str">
        <f ca="1">IFERROR(__xludf.DUMMYFUNCTION("""COMPUTED_VALUE""")," ")</f>
        <v xml:space="preserve"> </v>
      </c>
      <c r="V181" s="1" t="str">
        <f ca="1">IFERROR(__xludf.DUMMYFUNCTION("""COMPUTED_VALUE""")," ")</f>
        <v xml:space="preserve"> </v>
      </c>
      <c r="W181" s="1" t="str">
        <f ca="1">IFERROR(__xludf.DUMMYFUNCTION("""COMPUTED_VALUE""")," ")</f>
        <v xml:space="preserve"> </v>
      </c>
      <c r="X181" s="1" t="str">
        <f ca="1">IFERROR(__xludf.DUMMYFUNCTION("""COMPUTED_VALUE""")," ")</f>
        <v xml:space="preserve"> </v>
      </c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</row>
    <row r="182" spans="1:62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 t="str">
        <f ca="1">IFERROR(__xludf.DUMMYFUNCTION("""COMPUTED_VALUE""")," ")</f>
        <v xml:space="preserve"> </v>
      </c>
      <c r="L182" s="1" t="str">
        <f ca="1">IFERROR(__xludf.DUMMYFUNCTION("""COMPUTED_VALUE""")," ")</f>
        <v xml:space="preserve"> </v>
      </c>
      <c r="M182" s="1" t="str">
        <f ca="1">IFERROR(__xludf.DUMMYFUNCTION("""COMPUTED_VALUE""")," ")</f>
        <v xml:space="preserve"> </v>
      </c>
      <c r="N182" s="1" t="str">
        <f ca="1">IFERROR(__xludf.DUMMYFUNCTION("""COMPUTED_VALUE""")," ")</f>
        <v xml:space="preserve"> </v>
      </c>
      <c r="O182" s="1"/>
      <c r="P182" s="1"/>
      <c r="Q182" s="1"/>
      <c r="R182" s="1"/>
      <c r="S182" s="1"/>
      <c r="T182" s="1"/>
      <c r="U182" s="1" t="str">
        <f ca="1">IFERROR(__xludf.DUMMYFUNCTION("""COMPUTED_VALUE""")," ")</f>
        <v xml:space="preserve"> </v>
      </c>
      <c r="V182" s="1" t="str">
        <f ca="1">IFERROR(__xludf.DUMMYFUNCTION("""COMPUTED_VALUE""")," ")</f>
        <v xml:space="preserve"> </v>
      </c>
      <c r="W182" s="1" t="str">
        <f ca="1">IFERROR(__xludf.DUMMYFUNCTION("""COMPUTED_VALUE""")," ")</f>
        <v xml:space="preserve"> </v>
      </c>
      <c r="X182" s="1" t="str">
        <f ca="1">IFERROR(__xludf.DUMMYFUNCTION("""COMPUTED_VALUE""")," ")</f>
        <v xml:space="preserve"> </v>
      </c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</row>
    <row r="183" spans="1:62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 t="str">
        <f ca="1">IFERROR(__xludf.DUMMYFUNCTION("""COMPUTED_VALUE""")," ")</f>
        <v xml:space="preserve"> </v>
      </c>
      <c r="L183" s="1" t="str">
        <f ca="1">IFERROR(__xludf.DUMMYFUNCTION("""COMPUTED_VALUE""")," ")</f>
        <v xml:space="preserve"> </v>
      </c>
      <c r="M183" s="1" t="str">
        <f ca="1">IFERROR(__xludf.DUMMYFUNCTION("""COMPUTED_VALUE""")," ")</f>
        <v xml:space="preserve"> </v>
      </c>
      <c r="N183" s="1" t="str">
        <f ca="1">IFERROR(__xludf.DUMMYFUNCTION("""COMPUTED_VALUE""")," ")</f>
        <v xml:space="preserve"> </v>
      </c>
      <c r="O183" s="1"/>
      <c r="P183" s="1"/>
      <c r="Q183" s="1"/>
      <c r="R183" s="1"/>
      <c r="S183" s="1"/>
      <c r="T183" s="1"/>
      <c r="U183" s="1" t="str">
        <f ca="1">IFERROR(__xludf.DUMMYFUNCTION("""COMPUTED_VALUE""")," ")</f>
        <v xml:space="preserve"> </v>
      </c>
      <c r="V183" s="1" t="str">
        <f ca="1">IFERROR(__xludf.DUMMYFUNCTION("""COMPUTED_VALUE""")," ")</f>
        <v xml:space="preserve"> </v>
      </c>
      <c r="W183" s="1" t="str">
        <f ca="1">IFERROR(__xludf.DUMMYFUNCTION("""COMPUTED_VALUE""")," ")</f>
        <v xml:space="preserve"> </v>
      </c>
      <c r="X183" s="1" t="str">
        <f ca="1">IFERROR(__xludf.DUMMYFUNCTION("""COMPUTED_VALUE""")," ")</f>
        <v xml:space="preserve"> </v>
      </c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</row>
    <row r="184" spans="1:62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 t="str">
        <f ca="1">IFERROR(__xludf.DUMMYFUNCTION("""COMPUTED_VALUE""")," ")</f>
        <v xml:space="preserve"> </v>
      </c>
      <c r="L184" s="1" t="str">
        <f ca="1">IFERROR(__xludf.DUMMYFUNCTION("""COMPUTED_VALUE""")," ")</f>
        <v xml:space="preserve"> </v>
      </c>
      <c r="M184" s="1" t="str">
        <f ca="1">IFERROR(__xludf.DUMMYFUNCTION("""COMPUTED_VALUE""")," ")</f>
        <v xml:space="preserve"> </v>
      </c>
      <c r="N184" s="1" t="str">
        <f ca="1">IFERROR(__xludf.DUMMYFUNCTION("""COMPUTED_VALUE""")," ")</f>
        <v xml:space="preserve"> </v>
      </c>
      <c r="O184" s="1"/>
      <c r="P184" s="1"/>
      <c r="Q184" s="1"/>
      <c r="R184" s="1"/>
      <c r="S184" s="1"/>
      <c r="T184" s="1"/>
      <c r="U184" s="1" t="str">
        <f ca="1">IFERROR(__xludf.DUMMYFUNCTION("""COMPUTED_VALUE""")," ")</f>
        <v xml:space="preserve"> </v>
      </c>
      <c r="V184" s="1" t="str">
        <f ca="1">IFERROR(__xludf.DUMMYFUNCTION("""COMPUTED_VALUE""")," ")</f>
        <v xml:space="preserve"> </v>
      </c>
      <c r="W184" s="1" t="str">
        <f ca="1">IFERROR(__xludf.DUMMYFUNCTION("""COMPUTED_VALUE""")," ")</f>
        <v xml:space="preserve"> </v>
      </c>
      <c r="X184" s="1" t="str">
        <f ca="1">IFERROR(__xludf.DUMMYFUNCTION("""COMPUTED_VALUE""")," ")</f>
        <v xml:space="preserve"> </v>
      </c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</row>
    <row r="185" spans="1:62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 t="str">
        <f ca="1">IFERROR(__xludf.DUMMYFUNCTION("""COMPUTED_VALUE""")," ")</f>
        <v xml:space="preserve"> </v>
      </c>
      <c r="L185" s="1" t="str">
        <f ca="1">IFERROR(__xludf.DUMMYFUNCTION("""COMPUTED_VALUE""")," ")</f>
        <v xml:space="preserve"> </v>
      </c>
      <c r="M185" s="1" t="str">
        <f ca="1">IFERROR(__xludf.DUMMYFUNCTION("""COMPUTED_VALUE""")," ")</f>
        <v xml:space="preserve"> </v>
      </c>
      <c r="N185" s="1" t="str">
        <f ca="1">IFERROR(__xludf.DUMMYFUNCTION("""COMPUTED_VALUE""")," ")</f>
        <v xml:space="preserve"> </v>
      </c>
      <c r="O185" s="1"/>
      <c r="P185" s="1"/>
      <c r="Q185" s="1"/>
      <c r="R185" s="1"/>
      <c r="S185" s="1"/>
      <c r="T185" s="1"/>
      <c r="U185" s="1" t="str">
        <f ca="1">IFERROR(__xludf.DUMMYFUNCTION("""COMPUTED_VALUE""")," ")</f>
        <v xml:space="preserve"> </v>
      </c>
      <c r="V185" s="1" t="str">
        <f ca="1">IFERROR(__xludf.DUMMYFUNCTION("""COMPUTED_VALUE""")," ")</f>
        <v xml:space="preserve"> </v>
      </c>
      <c r="W185" s="1" t="str">
        <f ca="1">IFERROR(__xludf.DUMMYFUNCTION("""COMPUTED_VALUE""")," ")</f>
        <v xml:space="preserve"> </v>
      </c>
      <c r="X185" s="1" t="str">
        <f ca="1">IFERROR(__xludf.DUMMYFUNCTION("""COMPUTED_VALUE""")," ")</f>
        <v xml:space="preserve"> </v>
      </c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</row>
    <row r="186" spans="1:62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 t="str">
        <f ca="1">IFERROR(__xludf.DUMMYFUNCTION("""COMPUTED_VALUE""")," ")</f>
        <v xml:space="preserve"> </v>
      </c>
      <c r="L186" s="1" t="str">
        <f ca="1">IFERROR(__xludf.DUMMYFUNCTION("""COMPUTED_VALUE""")," ")</f>
        <v xml:space="preserve"> </v>
      </c>
      <c r="M186" s="1" t="str">
        <f ca="1">IFERROR(__xludf.DUMMYFUNCTION("""COMPUTED_VALUE""")," ")</f>
        <v xml:space="preserve"> </v>
      </c>
      <c r="N186" s="1" t="str">
        <f ca="1">IFERROR(__xludf.DUMMYFUNCTION("""COMPUTED_VALUE""")," ")</f>
        <v xml:space="preserve"> </v>
      </c>
      <c r="O186" s="1"/>
      <c r="P186" s="1"/>
      <c r="Q186" s="1"/>
      <c r="R186" s="1"/>
      <c r="S186" s="1"/>
      <c r="T186" s="1"/>
      <c r="U186" s="1" t="str">
        <f ca="1">IFERROR(__xludf.DUMMYFUNCTION("""COMPUTED_VALUE""")," ")</f>
        <v xml:space="preserve"> </v>
      </c>
      <c r="V186" s="1" t="str">
        <f ca="1">IFERROR(__xludf.DUMMYFUNCTION("""COMPUTED_VALUE""")," ")</f>
        <v xml:space="preserve"> </v>
      </c>
      <c r="W186" s="1" t="str">
        <f ca="1">IFERROR(__xludf.DUMMYFUNCTION("""COMPUTED_VALUE""")," ")</f>
        <v xml:space="preserve"> </v>
      </c>
      <c r="X186" s="1" t="str">
        <f ca="1">IFERROR(__xludf.DUMMYFUNCTION("""COMPUTED_VALUE""")," ")</f>
        <v xml:space="preserve"> </v>
      </c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</row>
    <row r="187" spans="1:62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 t="str">
        <f ca="1">IFERROR(__xludf.DUMMYFUNCTION("""COMPUTED_VALUE""")," ")</f>
        <v xml:space="preserve"> </v>
      </c>
      <c r="L187" s="1" t="str">
        <f ca="1">IFERROR(__xludf.DUMMYFUNCTION("""COMPUTED_VALUE""")," ")</f>
        <v xml:space="preserve"> </v>
      </c>
      <c r="M187" s="1" t="str">
        <f ca="1">IFERROR(__xludf.DUMMYFUNCTION("""COMPUTED_VALUE""")," ")</f>
        <v xml:space="preserve"> </v>
      </c>
      <c r="N187" s="1" t="str">
        <f ca="1">IFERROR(__xludf.DUMMYFUNCTION("""COMPUTED_VALUE""")," ")</f>
        <v xml:space="preserve"> </v>
      </c>
      <c r="O187" s="1"/>
      <c r="P187" s="1"/>
      <c r="Q187" s="1"/>
      <c r="R187" s="1"/>
      <c r="S187" s="1"/>
      <c r="T187" s="1"/>
      <c r="U187" s="1" t="str">
        <f ca="1">IFERROR(__xludf.DUMMYFUNCTION("""COMPUTED_VALUE""")," ")</f>
        <v xml:space="preserve"> </v>
      </c>
      <c r="V187" s="1" t="str">
        <f ca="1">IFERROR(__xludf.DUMMYFUNCTION("""COMPUTED_VALUE""")," ")</f>
        <v xml:space="preserve"> </v>
      </c>
      <c r="W187" s="1" t="str">
        <f ca="1">IFERROR(__xludf.DUMMYFUNCTION("""COMPUTED_VALUE""")," ")</f>
        <v xml:space="preserve"> </v>
      </c>
      <c r="X187" s="1" t="str">
        <f ca="1">IFERROR(__xludf.DUMMYFUNCTION("""COMPUTED_VALUE""")," ")</f>
        <v xml:space="preserve"> </v>
      </c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</row>
    <row r="188" spans="1:62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 t="str">
        <f ca="1">IFERROR(__xludf.DUMMYFUNCTION("""COMPUTED_VALUE""")," ")</f>
        <v xml:space="preserve"> </v>
      </c>
      <c r="L188" s="1" t="str">
        <f ca="1">IFERROR(__xludf.DUMMYFUNCTION("""COMPUTED_VALUE""")," ")</f>
        <v xml:space="preserve"> </v>
      </c>
      <c r="M188" s="1" t="str">
        <f ca="1">IFERROR(__xludf.DUMMYFUNCTION("""COMPUTED_VALUE""")," ")</f>
        <v xml:space="preserve"> </v>
      </c>
      <c r="N188" s="1" t="str">
        <f ca="1">IFERROR(__xludf.DUMMYFUNCTION("""COMPUTED_VALUE""")," ")</f>
        <v xml:space="preserve"> </v>
      </c>
      <c r="O188" s="1"/>
      <c r="P188" s="1"/>
      <c r="Q188" s="1"/>
      <c r="R188" s="1"/>
      <c r="S188" s="1"/>
      <c r="T188" s="1"/>
      <c r="U188" s="1" t="str">
        <f ca="1">IFERROR(__xludf.DUMMYFUNCTION("""COMPUTED_VALUE""")," ")</f>
        <v xml:space="preserve"> </v>
      </c>
      <c r="V188" s="1" t="str">
        <f ca="1">IFERROR(__xludf.DUMMYFUNCTION("""COMPUTED_VALUE""")," ")</f>
        <v xml:space="preserve"> </v>
      </c>
      <c r="W188" s="1" t="str">
        <f ca="1">IFERROR(__xludf.DUMMYFUNCTION("""COMPUTED_VALUE""")," ")</f>
        <v xml:space="preserve"> </v>
      </c>
      <c r="X188" s="1" t="str">
        <f ca="1">IFERROR(__xludf.DUMMYFUNCTION("""COMPUTED_VALUE""")," ")</f>
        <v xml:space="preserve"> </v>
      </c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</row>
    <row r="189" spans="1:62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 t="str">
        <f ca="1">IFERROR(__xludf.DUMMYFUNCTION("""COMPUTED_VALUE""")," ")</f>
        <v xml:space="preserve"> </v>
      </c>
      <c r="L189" s="1" t="str">
        <f ca="1">IFERROR(__xludf.DUMMYFUNCTION("""COMPUTED_VALUE""")," ")</f>
        <v xml:space="preserve"> </v>
      </c>
      <c r="M189" s="1" t="str">
        <f ca="1">IFERROR(__xludf.DUMMYFUNCTION("""COMPUTED_VALUE""")," ")</f>
        <v xml:space="preserve"> </v>
      </c>
      <c r="N189" s="1" t="str">
        <f ca="1">IFERROR(__xludf.DUMMYFUNCTION("""COMPUTED_VALUE""")," ")</f>
        <v xml:space="preserve"> </v>
      </c>
      <c r="O189" s="1"/>
      <c r="P189" s="1"/>
      <c r="Q189" s="1"/>
      <c r="R189" s="1"/>
      <c r="S189" s="1"/>
      <c r="T189" s="1"/>
      <c r="U189" s="1" t="str">
        <f ca="1">IFERROR(__xludf.DUMMYFUNCTION("""COMPUTED_VALUE""")," ")</f>
        <v xml:space="preserve"> </v>
      </c>
      <c r="V189" s="1" t="str">
        <f ca="1">IFERROR(__xludf.DUMMYFUNCTION("""COMPUTED_VALUE""")," ")</f>
        <v xml:space="preserve"> </v>
      </c>
      <c r="W189" s="1" t="str">
        <f ca="1">IFERROR(__xludf.DUMMYFUNCTION("""COMPUTED_VALUE""")," ")</f>
        <v xml:space="preserve"> </v>
      </c>
      <c r="X189" s="1" t="str">
        <f ca="1">IFERROR(__xludf.DUMMYFUNCTION("""COMPUTED_VALUE""")," ")</f>
        <v xml:space="preserve"> </v>
      </c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</row>
    <row r="190" spans="1:62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 t="str">
        <f ca="1">IFERROR(__xludf.DUMMYFUNCTION("""COMPUTED_VALUE""")," ")</f>
        <v xml:space="preserve"> </v>
      </c>
      <c r="L190" s="1" t="str">
        <f ca="1">IFERROR(__xludf.DUMMYFUNCTION("""COMPUTED_VALUE""")," ")</f>
        <v xml:space="preserve"> </v>
      </c>
      <c r="M190" s="1" t="str">
        <f ca="1">IFERROR(__xludf.DUMMYFUNCTION("""COMPUTED_VALUE""")," ")</f>
        <v xml:space="preserve"> </v>
      </c>
      <c r="N190" s="1" t="str">
        <f ca="1">IFERROR(__xludf.DUMMYFUNCTION("""COMPUTED_VALUE""")," ")</f>
        <v xml:space="preserve"> </v>
      </c>
      <c r="O190" s="1"/>
      <c r="P190" s="1"/>
      <c r="Q190" s="1"/>
      <c r="R190" s="1"/>
      <c r="S190" s="1"/>
      <c r="T190" s="1"/>
      <c r="U190" s="1" t="str">
        <f ca="1">IFERROR(__xludf.DUMMYFUNCTION("""COMPUTED_VALUE""")," ")</f>
        <v xml:space="preserve"> </v>
      </c>
      <c r="V190" s="1" t="str">
        <f ca="1">IFERROR(__xludf.DUMMYFUNCTION("""COMPUTED_VALUE""")," ")</f>
        <v xml:space="preserve"> </v>
      </c>
      <c r="W190" s="1" t="str">
        <f ca="1">IFERROR(__xludf.DUMMYFUNCTION("""COMPUTED_VALUE""")," ")</f>
        <v xml:space="preserve"> </v>
      </c>
      <c r="X190" s="1" t="str">
        <f ca="1">IFERROR(__xludf.DUMMYFUNCTION("""COMPUTED_VALUE""")," ")</f>
        <v xml:space="preserve"> </v>
      </c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</row>
    <row r="191" spans="1:62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 t="str">
        <f ca="1">IFERROR(__xludf.DUMMYFUNCTION("""COMPUTED_VALUE""")," ")</f>
        <v xml:space="preserve"> </v>
      </c>
      <c r="L191" s="1" t="str">
        <f ca="1">IFERROR(__xludf.DUMMYFUNCTION("""COMPUTED_VALUE""")," ")</f>
        <v xml:space="preserve"> </v>
      </c>
      <c r="M191" s="1" t="str">
        <f ca="1">IFERROR(__xludf.DUMMYFUNCTION("""COMPUTED_VALUE""")," ")</f>
        <v xml:space="preserve"> </v>
      </c>
      <c r="N191" s="1" t="str">
        <f ca="1">IFERROR(__xludf.DUMMYFUNCTION("""COMPUTED_VALUE""")," ")</f>
        <v xml:space="preserve"> </v>
      </c>
      <c r="O191" s="1"/>
      <c r="P191" s="1"/>
      <c r="Q191" s="1"/>
      <c r="R191" s="1"/>
      <c r="S191" s="1"/>
      <c r="T191" s="1"/>
      <c r="U191" s="1" t="str">
        <f ca="1">IFERROR(__xludf.DUMMYFUNCTION("""COMPUTED_VALUE""")," ")</f>
        <v xml:space="preserve"> </v>
      </c>
      <c r="V191" s="1" t="str">
        <f ca="1">IFERROR(__xludf.DUMMYFUNCTION("""COMPUTED_VALUE""")," ")</f>
        <v xml:space="preserve"> </v>
      </c>
      <c r="W191" s="1" t="str">
        <f ca="1">IFERROR(__xludf.DUMMYFUNCTION("""COMPUTED_VALUE""")," ")</f>
        <v xml:space="preserve"> </v>
      </c>
      <c r="X191" s="1" t="str">
        <f ca="1">IFERROR(__xludf.DUMMYFUNCTION("""COMPUTED_VALUE""")," ")</f>
        <v xml:space="preserve"> </v>
      </c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</row>
    <row r="192" spans="1:62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 t="str">
        <f ca="1">IFERROR(__xludf.DUMMYFUNCTION("""COMPUTED_VALUE""")," ")</f>
        <v xml:space="preserve"> </v>
      </c>
      <c r="L192" s="1" t="str">
        <f ca="1">IFERROR(__xludf.DUMMYFUNCTION("""COMPUTED_VALUE""")," ")</f>
        <v xml:space="preserve"> </v>
      </c>
      <c r="M192" s="1" t="str">
        <f ca="1">IFERROR(__xludf.DUMMYFUNCTION("""COMPUTED_VALUE""")," ")</f>
        <v xml:space="preserve"> </v>
      </c>
      <c r="N192" s="1" t="str">
        <f ca="1">IFERROR(__xludf.DUMMYFUNCTION("""COMPUTED_VALUE""")," ")</f>
        <v xml:space="preserve"> </v>
      </c>
      <c r="O192" s="1"/>
      <c r="P192" s="1"/>
      <c r="Q192" s="1"/>
      <c r="R192" s="1"/>
      <c r="S192" s="1"/>
      <c r="T192" s="1"/>
      <c r="U192" s="1" t="str">
        <f ca="1">IFERROR(__xludf.DUMMYFUNCTION("""COMPUTED_VALUE""")," ")</f>
        <v xml:space="preserve"> </v>
      </c>
      <c r="V192" s="1" t="str">
        <f ca="1">IFERROR(__xludf.DUMMYFUNCTION("""COMPUTED_VALUE""")," ")</f>
        <v xml:space="preserve"> </v>
      </c>
      <c r="W192" s="1" t="str">
        <f ca="1">IFERROR(__xludf.DUMMYFUNCTION("""COMPUTED_VALUE""")," ")</f>
        <v xml:space="preserve"> </v>
      </c>
      <c r="X192" s="1" t="str">
        <f ca="1">IFERROR(__xludf.DUMMYFUNCTION("""COMPUTED_VALUE""")," ")</f>
        <v xml:space="preserve"> </v>
      </c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</row>
    <row r="193" spans="1:62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 t="str">
        <f ca="1">IFERROR(__xludf.DUMMYFUNCTION("""COMPUTED_VALUE""")," ")</f>
        <v xml:space="preserve"> </v>
      </c>
      <c r="L193" s="1" t="str">
        <f ca="1">IFERROR(__xludf.DUMMYFUNCTION("""COMPUTED_VALUE""")," ")</f>
        <v xml:space="preserve"> </v>
      </c>
      <c r="M193" s="1" t="str">
        <f ca="1">IFERROR(__xludf.DUMMYFUNCTION("""COMPUTED_VALUE""")," ")</f>
        <v xml:space="preserve"> </v>
      </c>
      <c r="N193" s="1" t="str">
        <f ca="1">IFERROR(__xludf.DUMMYFUNCTION("""COMPUTED_VALUE""")," ")</f>
        <v xml:space="preserve"> </v>
      </c>
      <c r="O193" s="1"/>
      <c r="P193" s="1"/>
      <c r="Q193" s="1"/>
      <c r="R193" s="1"/>
      <c r="S193" s="1"/>
      <c r="T193" s="1"/>
      <c r="U193" s="1" t="str">
        <f ca="1">IFERROR(__xludf.DUMMYFUNCTION("""COMPUTED_VALUE""")," ")</f>
        <v xml:space="preserve"> </v>
      </c>
      <c r="V193" s="1" t="str">
        <f ca="1">IFERROR(__xludf.DUMMYFUNCTION("""COMPUTED_VALUE""")," ")</f>
        <v xml:space="preserve"> </v>
      </c>
      <c r="W193" s="1" t="str">
        <f ca="1">IFERROR(__xludf.DUMMYFUNCTION("""COMPUTED_VALUE""")," ")</f>
        <v xml:space="preserve"> </v>
      </c>
      <c r="X193" s="1" t="str">
        <f ca="1">IFERROR(__xludf.DUMMYFUNCTION("""COMPUTED_VALUE""")," ")</f>
        <v xml:space="preserve"> </v>
      </c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</row>
    <row r="194" spans="1:62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 t="str">
        <f ca="1">IFERROR(__xludf.DUMMYFUNCTION("""COMPUTED_VALUE""")," ")</f>
        <v xml:space="preserve"> </v>
      </c>
      <c r="L194" s="1" t="str">
        <f ca="1">IFERROR(__xludf.DUMMYFUNCTION("""COMPUTED_VALUE""")," ")</f>
        <v xml:space="preserve"> </v>
      </c>
      <c r="M194" s="1" t="str">
        <f ca="1">IFERROR(__xludf.DUMMYFUNCTION("""COMPUTED_VALUE""")," ")</f>
        <v xml:space="preserve"> </v>
      </c>
      <c r="N194" s="1" t="str">
        <f ca="1">IFERROR(__xludf.DUMMYFUNCTION("""COMPUTED_VALUE""")," ")</f>
        <v xml:space="preserve"> </v>
      </c>
      <c r="O194" s="1"/>
      <c r="P194" s="1"/>
      <c r="Q194" s="1"/>
      <c r="R194" s="1"/>
      <c r="S194" s="1"/>
      <c r="T194" s="1"/>
      <c r="U194" s="1" t="str">
        <f ca="1">IFERROR(__xludf.DUMMYFUNCTION("""COMPUTED_VALUE""")," ")</f>
        <v xml:space="preserve"> </v>
      </c>
      <c r="V194" s="1" t="str">
        <f ca="1">IFERROR(__xludf.DUMMYFUNCTION("""COMPUTED_VALUE""")," ")</f>
        <v xml:space="preserve"> </v>
      </c>
      <c r="W194" s="1" t="str">
        <f ca="1">IFERROR(__xludf.DUMMYFUNCTION("""COMPUTED_VALUE""")," ")</f>
        <v xml:space="preserve"> </v>
      </c>
      <c r="X194" s="1" t="str">
        <f ca="1">IFERROR(__xludf.DUMMYFUNCTION("""COMPUTED_VALUE""")," ")</f>
        <v xml:space="preserve"> </v>
      </c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</row>
    <row r="195" spans="1:62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 t="str">
        <f ca="1">IFERROR(__xludf.DUMMYFUNCTION("""COMPUTED_VALUE""")," ")</f>
        <v xml:space="preserve"> </v>
      </c>
      <c r="L195" s="1" t="str">
        <f ca="1">IFERROR(__xludf.DUMMYFUNCTION("""COMPUTED_VALUE""")," ")</f>
        <v xml:space="preserve"> </v>
      </c>
      <c r="M195" s="1" t="str">
        <f ca="1">IFERROR(__xludf.DUMMYFUNCTION("""COMPUTED_VALUE""")," ")</f>
        <v xml:space="preserve"> </v>
      </c>
      <c r="N195" s="1" t="str">
        <f ca="1">IFERROR(__xludf.DUMMYFUNCTION("""COMPUTED_VALUE""")," ")</f>
        <v xml:space="preserve"> </v>
      </c>
      <c r="O195" s="1"/>
      <c r="P195" s="1"/>
      <c r="Q195" s="1"/>
      <c r="R195" s="1"/>
      <c r="S195" s="1"/>
      <c r="T195" s="1"/>
      <c r="U195" s="1" t="str">
        <f ca="1">IFERROR(__xludf.DUMMYFUNCTION("""COMPUTED_VALUE""")," ")</f>
        <v xml:space="preserve"> </v>
      </c>
      <c r="V195" s="1" t="str">
        <f ca="1">IFERROR(__xludf.DUMMYFUNCTION("""COMPUTED_VALUE""")," ")</f>
        <v xml:space="preserve"> </v>
      </c>
      <c r="W195" s="1" t="str">
        <f ca="1">IFERROR(__xludf.DUMMYFUNCTION("""COMPUTED_VALUE""")," ")</f>
        <v xml:space="preserve"> </v>
      </c>
      <c r="X195" s="1" t="str">
        <f ca="1">IFERROR(__xludf.DUMMYFUNCTION("""COMPUTED_VALUE""")," ")</f>
        <v xml:space="preserve"> </v>
      </c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</row>
    <row r="196" spans="1:62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 t="str">
        <f ca="1">IFERROR(__xludf.DUMMYFUNCTION("""COMPUTED_VALUE""")," ")</f>
        <v xml:space="preserve"> </v>
      </c>
      <c r="L196" s="1" t="str">
        <f ca="1">IFERROR(__xludf.DUMMYFUNCTION("""COMPUTED_VALUE""")," ")</f>
        <v xml:space="preserve"> </v>
      </c>
      <c r="M196" s="1" t="str">
        <f ca="1">IFERROR(__xludf.DUMMYFUNCTION("""COMPUTED_VALUE""")," ")</f>
        <v xml:space="preserve"> </v>
      </c>
      <c r="N196" s="1" t="str">
        <f ca="1">IFERROR(__xludf.DUMMYFUNCTION("""COMPUTED_VALUE""")," ")</f>
        <v xml:space="preserve"> </v>
      </c>
      <c r="O196" s="1"/>
      <c r="P196" s="1"/>
      <c r="Q196" s="1"/>
      <c r="R196" s="1"/>
      <c r="S196" s="1"/>
      <c r="T196" s="1"/>
      <c r="U196" s="1" t="str">
        <f ca="1">IFERROR(__xludf.DUMMYFUNCTION("""COMPUTED_VALUE""")," ")</f>
        <v xml:space="preserve"> </v>
      </c>
      <c r="V196" s="1" t="str">
        <f ca="1">IFERROR(__xludf.DUMMYFUNCTION("""COMPUTED_VALUE""")," ")</f>
        <v xml:space="preserve"> </v>
      </c>
      <c r="W196" s="1" t="str">
        <f ca="1">IFERROR(__xludf.DUMMYFUNCTION("""COMPUTED_VALUE""")," ")</f>
        <v xml:space="preserve"> </v>
      </c>
      <c r="X196" s="1" t="str">
        <f ca="1">IFERROR(__xludf.DUMMYFUNCTION("""COMPUTED_VALUE""")," ")</f>
        <v xml:space="preserve"> </v>
      </c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</row>
    <row r="197" spans="1:62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 t="str">
        <f ca="1">IFERROR(__xludf.DUMMYFUNCTION("""COMPUTED_VALUE""")," ")</f>
        <v xml:space="preserve"> </v>
      </c>
      <c r="L197" s="1" t="str">
        <f ca="1">IFERROR(__xludf.DUMMYFUNCTION("""COMPUTED_VALUE""")," ")</f>
        <v xml:space="preserve"> </v>
      </c>
      <c r="M197" s="1" t="str">
        <f ca="1">IFERROR(__xludf.DUMMYFUNCTION("""COMPUTED_VALUE""")," ")</f>
        <v xml:space="preserve"> </v>
      </c>
      <c r="N197" s="1" t="str">
        <f ca="1">IFERROR(__xludf.DUMMYFUNCTION("""COMPUTED_VALUE""")," ")</f>
        <v xml:space="preserve"> </v>
      </c>
      <c r="O197" s="1"/>
      <c r="P197" s="1"/>
      <c r="Q197" s="1"/>
      <c r="R197" s="1"/>
      <c r="S197" s="1"/>
      <c r="T197" s="1"/>
      <c r="U197" s="1" t="str">
        <f ca="1">IFERROR(__xludf.DUMMYFUNCTION("""COMPUTED_VALUE""")," ")</f>
        <v xml:space="preserve"> </v>
      </c>
      <c r="V197" s="1" t="str">
        <f ca="1">IFERROR(__xludf.DUMMYFUNCTION("""COMPUTED_VALUE""")," ")</f>
        <v xml:space="preserve"> </v>
      </c>
      <c r="W197" s="1" t="str">
        <f ca="1">IFERROR(__xludf.DUMMYFUNCTION("""COMPUTED_VALUE""")," ")</f>
        <v xml:space="preserve"> </v>
      </c>
      <c r="X197" s="1" t="str">
        <f ca="1">IFERROR(__xludf.DUMMYFUNCTION("""COMPUTED_VALUE""")," ")</f>
        <v xml:space="preserve"> </v>
      </c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</row>
    <row r="198" spans="1:62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 t="str">
        <f ca="1">IFERROR(__xludf.DUMMYFUNCTION("""COMPUTED_VALUE""")," ")</f>
        <v xml:space="preserve"> </v>
      </c>
      <c r="L198" s="1" t="str">
        <f ca="1">IFERROR(__xludf.DUMMYFUNCTION("""COMPUTED_VALUE""")," ")</f>
        <v xml:space="preserve"> </v>
      </c>
      <c r="M198" s="1" t="str">
        <f ca="1">IFERROR(__xludf.DUMMYFUNCTION("""COMPUTED_VALUE""")," ")</f>
        <v xml:space="preserve"> </v>
      </c>
      <c r="N198" s="1" t="str">
        <f ca="1">IFERROR(__xludf.DUMMYFUNCTION("""COMPUTED_VALUE""")," ")</f>
        <v xml:space="preserve"> </v>
      </c>
      <c r="O198" s="1"/>
      <c r="P198" s="1"/>
      <c r="Q198" s="1"/>
      <c r="R198" s="1"/>
      <c r="S198" s="1"/>
      <c r="T198" s="1"/>
      <c r="U198" s="1" t="str">
        <f ca="1">IFERROR(__xludf.DUMMYFUNCTION("""COMPUTED_VALUE""")," ")</f>
        <v xml:space="preserve"> </v>
      </c>
      <c r="V198" s="1" t="str">
        <f ca="1">IFERROR(__xludf.DUMMYFUNCTION("""COMPUTED_VALUE""")," ")</f>
        <v xml:space="preserve"> </v>
      </c>
      <c r="W198" s="1" t="str">
        <f ca="1">IFERROR(__xludf.DUMMYFUNCTION("""COMPUTED_VALUE""")," ")</f>
        <v xml:space="preserve"> </v>
      </c>
      <c r="X198" s="1" t="str">
        <f ca="1">IFERROR(__xludf.DUMMYFUNCTION("""COMPUTED_VALUE""")," ")</f>
        <v xml:space="preserve"> </v>
      </c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</row>
    <row r="199" spans="1:62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 t="str">
        <f ca="1">IFERROR(__xludf.DUMMYFUNCTION("""COMPUTED_VALUE""")," ")</f>
        <v xml:space="preserve"> </v>
      </c>
      <c r="L199" s="1" t="str">
        <f ca="1">IFERROR(__xludf.DUMMYFUNCTION("""COMPUTED_VALUE""")," ")</f>
        <v xml:space="preserve"> </v>
      </c>
      <c r="M199" s="1" t="str">
        <f ca="1">IFERROR(__xludf.DUMMYFUNCTION("""COMPUTED_VALUE""")," ")</f>
        <v xml:space="preserve"> </v>
      </c>
      <c r="N199" s="1" t="str">
        <f ca="1">IFERROR(__xludf.DUMMYFUNCTION("""COMPUTED_VALUE""")," ")</f>
        <v xml:space="preserve"> </v>
      </c>
      <c r="O199" s="1"/>
      <c r="P199" s="1"/>
      <c r="Q199" s="1"/>
      <c r="R199" s="1"/>
      <c r="S199" s="1"/>
      <c r="T199" s="1"/>
      <c r="U199" s="1" t="str">
        <f ca="1">IFERROR(__xludf.DUMMYFUNCTION("""COMPUTED_VALUE""")," ")</f>
        <v xml:space="preserve"> </v>
      </c>
      <c r="V199" s="1" t="str">
        <f ca="1">IFERROR(__xludf.DUMMYFUNCTION("""COMPUTED_VALUE""")," ")</f>
        <v xml:space="preserve"> </v>
      </c>
      <c r="W199" s="1" t="str">
        <f ca="1">IFERROR(__xludf.DUMMYFUNCTION("""COMPUTED_VALUE""")," ")</f>
        <v xml:space="preserve"> </v>
      </c>
      <c r="X199" s="1" t="str">
        <f ca="1">IFERROR(__xludf.DUMMYFUNCTION("""COMPUTED_VALUE""")," ")</f>
        <v xml:space="preserve"> </v>
      </c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</row>
    <row r="200" spans="1:62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 t="str">
        <f ca="1">IFERROR(__xludf.DUMMYFUNCTION("""COMPUTED_VALUE""")," ")</f>
        <v xml:space="preserve"> </v>
      </c>
      <c r="L200" s="1" t="str">
        <f ca="1">IFERROR(__xludf.DUMMYFUNCTION("""COMPUTED_VALUE""")," ")</f>
        <v xml:space="preserve"> </v>
      </c>
      <c r="M200" s="1" t="str">
        <f ca="1">IFERROR(__xludf.DUMMYFUNCTION("""COMPUTED_VALUE""")," ")</f>
        <v xml:space="preserve"> </v>
      </c>
      <c r="N200" s="1" t="str">
        <f ca="1">IFERROR(__xludf.DUMMYFUNCTION("""COMPUTED_VALUE""")," ")</f>
        <v xml:space="preserve"> </v>
      </c>
      <c r="O200" s="1"/>
      <c r="P200" s="1"/>
      <c r="Q200" s="1"/>
      <c r="R200" s="1"/>
      <c r="S200" s="1"/>
      <c r="T200" s="1"/>
      <c r="U200" s="1" t="str">
        <f ca="1">IFERROR(__xludf.DUMMYFUNCTION("""COMPUTED_VALUE""")," ")</f>
        <v xml:space="preserve"> </v>
      </c>
      <c r="V200" s="1" t="str">
        <f ca="1">IFERROR(__xludf.DUMMYFUNCTION("""COMPUTED_VALUE""")," ")</f>
        <v xml:space="preserve"> </v>
      </c>
      <c r="W200" s="1" t="str">
        <f ca="1">IFERROR(__xludf.DUMMYFUNCTION("""COMPUTED_VALUE""")," ")</f>
        <v xml:space="preserve"> </v>
      </c>
      <c r="X200" s="1" t="str">
        <f ca="1">IFERROR(__xludf.DUMMYFUNCTION("""COMPUTED_VALUE""")," ")</f>
        <v xml:space="preserve"> </v>
      </c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</row>
    <row r="201" spans="1:62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 t="str">
        <f ca="1">IFERROR(__xludf.DUMMYFUNCTION("""COMPUTED_VALUE""")," ")</f>
        <v xml:space="preserve"> </v>
      </c>
      <c r="L201" s="1" t="str">
        <f ca="1">IFERROR(__xludf.DUMMYFUNCTION("""COMPUTED_VALUE""")," ")</f>
        <v xml:space="preserve"> </v>
      </c>
      <c r="M201" s="1" t="str">
        <f ca="1">IFERROR(__xludf.DUMMYFUNCTION("""COMPUTED_VALUE""")," ")</f>
        <v xml:space="preserve"> </v>
      </c>
      <c r="N201" s="1" t="str">
        <f ca="1">IFERROR(__xludf.DUMMYFUNCTION("""COMPUTED_VALUE""")," ")</f>
        <v xml:space="preserve"> </v>
      </c>
      <c r="O201" s="1"/>
      <c r="P201" s="1"/>
      <c r="Q201" s="1"/>
      <c r="R201" s="1"/>
      <c r="S201" s="1"/>
      <c r="T201" s="1"/>
      <c r="U201" s="1" t="str">
        <f ca="1">IFERROR(__xludf.DUMMYFUNCTION("""COMPUTED_VALUE""")," ")</f>
        <v xml:space="preserve"> </v>
      </c>
      <c r="V201" s="1" t="str">
        <f ca="1">IFERROR(__xludf.DUMMYFUNCTION("""COMPUTED_VALUE""")," ")</f>
        <v xml:space="preserve"> </v>
      </c>
      <c r="W201" s="1" t="str">
        <f ca="1">IFERROR(__xludf.DUMMYFUNCTION("""COMPUTED_VALUE""")," ")</f>
        <v xml:space="preserve"> </v>
      </c>
      <c r="X201" s="1" t="str">
        <f ca="1">IFERROR(__xludf.DUMMYFUNCTION("""COMPUTED_VALUE""")," ")</f>
        <v xml:space="preserve"> </v>
      </c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</row>
    <row r="202" spans="1:62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 t="str">
        <f ca="1">IFERROR(__xludf.DUMMYFUNCTION("""COMPUTED_VALUE""")," ")</f>
        <v xml:space="preserve"> </v>
      </c>
      <c r="L202" s="1" t="str">
        <f ca="1">IFERROR(__xludf.DUMMYFUNCTION("""COMPUTED_VALUE""")," ")</f>
        <v xml:space="preserve"> </v>
      </c>
      <c r="M202" s="1" t="str">
        <f ca="1">IFERROR(__xludf.DUMMYFUNCTION("""COMPUTED_VALUE""")," ")</f>
        <v xml:space="preserve"> </v>
      </c>
      <c r="N202" s="1" t="str">
        <f ca="1">IFERROR(__xludf.DUMMYFUNCTION("""COMPUTED_VALUE""")," ")</f>
        <v xml:space="preserve"> </v>
      </c>
      <c r="O202" s="1"/>
      <c r="P202" s="1"/>
      <c r="Q202" s="1"/>
      <c r="R202" s="1"/>
      <c r="S202" s="1"/>
      <c r="T202" s="1"/>
      <c r="U202" s="1" t="str">
        <f ca="1">IFERROR(__xludf.DUMMYFUNCTION("""COMPUTED_VALUE""")," ")</f>
        <v xml:space="preserve"> </v>
      </c>
      <c r="V202" s="1" t="str">
        <f ca="1">IFERROR(__xludf.DUMMYFUNCTION("""COMPUTED_VALUE""")," ")</f>
        <v xml:space="preserve"> </v>
      </c>
      <c r="W202" s="1" t="str">
        <f ca="1">IFERROR(__xludf.DUMMYFUNCTION("""COMPUTED_VALUE""")," ")</f>
        <v xml:space="preserve"> </v>
      </c>
      <c r="X202" s="1" t="str">
        <f ca="1">IFERROR(__xludf.DUMMYFUNCTION("""COMPUTED_VALUE""")," ")</f>
        <v xml:space="preserve"> </v>
      </c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</row>
    <row r="203" spans="1:62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</row>
    <row r="204" spans="1:62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</row>
    <row r="205" spans="1:62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</row>
    <row r="206" spans="1:62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</row>
    <row r="207" spans="1:62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</row>
    <row r="208" spans="1:62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</row>
    <row r="209" spans="1:62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</row>
    <row r="210" spans="1:62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</row>
    <row r="211" spans="1:62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</row>
    <row r="212" spans="1:62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</row>
    <row r="213" spans="1:62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</row>
    <row r="214" spans="1:62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</row>
    <row r="215" spans="1:62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</row>
    <row r="216" spans="1:62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</row>
    <row r="217" spans="1:62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</row>
    <row r="218" spans="1:62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</row>
    <row r="219" spans="1:62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</row>
    <row r="220" spans="1:62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</row>
    <row r="221" spans="1:62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</row>
    <row r="222" spans="1:62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</row>
    <row r="223" spans="1:62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</row>
    <row r="224" spans="1:62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</row>
    <row r="225" spans="1:62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</row>
    <row r="226" spans="1:62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</row>
    <row r="227" spans="1:62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</row>
    <row r="228" spans="1:62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</row>
    <row r="229" spans="1:62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</row>
    <row r="230" spans="1:62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</row>
    <row r="231" spans="1:62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</row>
    <row r="232" spans="1:62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</row>
    <row r="233" spans="1:62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</row>
    <row r="234" spans="1:62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</row>
    <row r="235" spans="1:62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</row>
    <row r="236" spans="1:62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</row>
    <row r="237" spans="1:62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</row>
    <row r="238" spans="1:62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</row>
    <row r="239" spans="1:62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</row>
    <row r="240" spans="1:62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</row>
    <row r="241" spans="1:62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</row>
    <row r="242" spans="1:62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</row>
    <row r="243" spans="1:62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</row>
    <row r="244" spans="1:62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</row>
    <row r="245" spans="1:62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</row>
    <row r="246" spans="1:62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</row>
    <row r="247" spans="1:62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</row>
    <row r="248" spans="1:62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</row>
    <row r="249" spans="1:62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</row>
    <row r="250" spans="1:62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</row>
    <row r="251" spans="1:62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</row>
    <row r="252" spans="1:62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</row>
    <row r="253" spans="1:62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</row>
    <row r="254" spans="1:62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</row>
    <row r="255" spans="1:62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</row>
    <row r="256" spans="1:62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</row>
    <row r="257" spans="1:62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</row>
    <row r="258" spans="1:62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</row>
    <row r="259" spans="1:62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</row>
    <row r="260" spans="1:62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</row>
    <row r="261" spans="1:62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</row>
    <row r="262" spans="1:62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</row>
    <row r="263" spans="1:62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</row>
    <row r="264" spans="1:62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</row>
    <row r="265" spans="1:62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</row>
    <row r="266" spans="1:62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</row>
    <row r="267" spans="1:62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</row>
    <row r="268" spans="1:62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</row>
    <row r="269" spans="1:62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</row>
    <row r="270" spans="1:62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</row>
    <row r="271" spans="1:62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</row>
    <row r="272" spans="1:62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</row>
    <row r="273" spans="1:62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</row>
    <row r="274" spans="1:62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</row>
    <row r="275" spans="1:62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</row>
    <row r="276" spans="1:62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</row>
    <row r="277" spans="1:62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</row>
    <row r="278" spans="1:62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</row>
    <row r="279" spans="1:62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</row>
    <row r="280" spans="1:62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</row>
    <row r="281" spans="1:62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</row>
    <row r="282" spans="1:62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</row>
    <row r="283" spans="1:62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</row>
    <row r="284" spans="1:62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</row>
    <row r="285" spans="1:62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</row>
    <row r="286" spans="1:62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</row>
    <row r="287" spans="1:62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</row>
    <row r="288" spans="1:62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</row>
    <row r="289" spans="1:62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</row>
    <row r="290" spans="1:62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</row>
    <row r="291" spans="1:62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</row>
    <row r="292" spans="1:62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</row>
    <row r="293" spans="1:62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</row>
    <row r="294" spans="1:62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</row>
    <row r="295" spans="1:62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</row>
    <row r="296" spans="1:62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</row>
    <row r="297" spans="1:62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</row>
    <row r="298" spans="1:62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</row>
    <row r="299" spans="1:62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</row>
    <row r="300" spans="1:62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</row>
    <row r="301" spans="1:62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</row>
    <row r="302" spans="1:62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</row>
    <row r="303" spans="1:62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</row>
    <row r="304" spans="1:62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</row>
    <row r="305" spans="1:62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</row>
    <row r="306" spans="1:62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</row>
    <row r="307" spans="1:62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</row>
    <row r="308" spans="1:62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</row>
    <row r="309" spans="1:62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</row>
    <row r="310" spans="1:62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</row>
    <row r="311" spans="1:62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</row>
    <row r="312" spans="1:62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</row>
    <row r="313" spans="1:62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</row>
    <row r="314" spans="1:62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</row>
    <row r="315" spans="1:62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</row>
    <row r="316" spans="1:62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</row>
    <row r="317" spans="1:62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</row>
    <row r="318" spans="1:62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</row>
    <row r="319" spans="1:62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</row>
    <row r="320" spans="1:62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</row>
    <row r="321" spans="1:62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</row>
    <row r="322" spans="1:62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</row>
    <row r="323" spans="1:62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</row>
    <row r="324" spans="1:62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</row>
    <row r="325" spans="1:62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</row>
    <row r="326" spans="1:62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</row>
    <row r="327" spans="1:62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</row>
    <row r="328" spans="1:62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</row>
    <row r="329" spans="1:62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</row>
    <row r="330" spans="1:62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</row>
    <row r="331" spans="1:62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</row>
    <row r="332" spans="1:62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</row>
    <row r="333" spans="1:62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</row>
    <row r="334" spans="1:62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</row>
    <row r="335" spans="1:62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</row>
    <row r="336" spans="1:62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</row>
    <row r="337" spans="1:62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</row>
    <row r="338" spans="1:62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</row>
    <row r="339" spans="1:62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</row>
    <row r="340" spans="1:62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</row>
    <row r="341" spans="1:62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</row>
    <row r="342" spans="1:62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</row>
    <row r="343" spans="1:62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</row>
    <row r="344" spans="1:62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</row>
    <row r="345" spans="1:62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</row>
    <row r="346" spans="1:62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</row>
    <row r="347" spans="1:62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</row>
    <row r="348" spans="1:62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</row>
    <row r="349" spans="1:62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</row>
    <row r="350" spans="1:62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</row>
    <row r="351" spans="1:62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</row>
    <row r="352" spans="1:62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</row>
    <row r="353" spans="1:62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</row>
    <row r="354" spans="1:62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</row>
    <row r="355" spans="1:62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</row>
    <row r="356" spans="1:62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</row>
    <row r="357" spans="1:62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</row>
    <row r="358" spans="1:62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</row>
    <row r="359" spans="1:62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</row>
    <row r="360" spans="1:62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</row>
    <row r="361" spans="1:62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</row>
    <row r="362" spans="1:62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</row>
    <row r="363" spans="1:62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</row>
    <row r="364" spans="1:62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</row>
    <row r="365" spans="1:62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</row>
    <row r="366" spans="1:62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</row>
    <row r="367" spans="1:62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</row>
    <row r="368" spans="1:62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</row>
    <row r="369" spans="1:62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</row>
    <row r="370" spans="1:62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</row>
    <row r="371" spans="1:62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</row>
    <row r="372" spans="1:62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</row>
    <row r="373" spans="1:62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</row>
    <row r="374" spans="1:62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</row>
    <row r="375" spans="1:62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</row>
    <row r="376" spans="1:62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</row>
    <row r="377" spans="1:62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</row>
    <row r="378" spans="1:62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</row>
    <row r="379" spans="1:62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</row>
    <row r="380" spans="1:62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</row>
    <row r="381" spans="1:62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</row>
    <row r="382" spans="1:62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</row>
    <row r="383" spans="1:62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</row>
    <row r="384" spans="1:62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</row>
    <row r="385" spans="1:62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</row>
    <row r="386" spans="1:62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</row>
    <row r="387" spans="1:62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</row>
    <row r="388" spans="1:62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</row>
    <row r="389" spans="1:62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</row>
    <row r="390" spans="1:62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</row>
    <row r="391" spans="1:62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</row>
    <row r="392" spans="1:62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</row>
    <row r="393" spans="1:62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</row>
    <row r="394" spans="1:62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</row>
    <row r="395" spans="1:62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</row>
    <row r="396" spans="1:62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</row>
    <row r="397" spans="1:62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</row>
    <row r="398" spans="1:62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</row>
    <row r="399" spans="1:62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</row>
    <row r="400" spans="1:62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</row>
    <row r="401" spans="1:62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</row>
    <row r="402" spans="1:62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</row>
    <row r="403" spans="1:62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</row>
    <row r="404" spans="1:62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</row>
    <row r="405" spans="1:62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</row>
    <row r="406" spans="1:62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</row>
    <row r="407" spans="1:62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</row>
    <row r="408" spans="1:62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</row>
    <row r="409" spans="1:62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</row>
    <row r="410" spans="1:62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</row>
    <row r="411" spans="1:62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</row>
    <row r="412" spans="1:62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</row>
    <row r="413" spans="1:62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</row>
    <row r="414" spans="1:62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</row>
    <row r="415" spans="1:62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</row>
    <row r="416" spans="1:62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</row>
    <row r="417" spans="1:62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</row>
    <row r="418" spans="1:62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</row>
    <row r="419" spans="1:62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</row>
    <row r="420" spans="1:62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</row>
    <row r="421" spans="1:62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</row>
    <row r="422" spans="1:62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</row>
    <row r="423" spans="1:62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</row>
    <row r="424" spans="1:62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</row>
    <row r="425" spans="1:62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</row>
    <row r="426" spans="1:62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</row>
    <row r="427" spans="1:62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</row>
    <row r="428" spans="1:62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</row>
    <row r="429" spans="1:62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</row>
    <row r="430" spans="1:62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</row>
    <row r="431" spans="1:62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</row>
    <row r="432" spans="1:62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</row>
    <row r="433" spans="1:62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</row>
    <row r="434" spans="1:62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</row>
    <row r="435" spans="1:62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</row>
    <row r="436" spans="1:62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</row>
    <row r="437" spans="1:62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</row>
    <row r="438" spans="1:62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</row>
    <row r="439" spans="1:62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</row>
    <row r="440" spans="1:62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</row>
    <row r="441" spans="1:62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</row>
    <row r="442" spans="1:62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</row>
    <row r="443" spans="1:62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</row>
    <row r="444" spans="1:62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</row>
    <row r="445" spans="1:62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</row>
    <row r="446" spans="1:62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</row>
    <row r="447" spans="1:62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</row>
    <row r="448" spans="1:62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</row>
    <row r="449" spans="1:62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</row>
    <row r="450" spans="1:62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</row>
    <row r="451" spans="1:62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</row>
    <row r="452" spans="1:62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</row>
    <row r="453" spans="1:62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</row>
    <row r="454" spans="1:62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</row>
    <row r="455" spans="1:62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</row>
    <row r="456" spans="1:62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</row>
    <row r="457" spans="1:62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</row>
    <row r="458" spans="1:62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</row>
    <row r="459" spans="1:62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</row>
    <row r="460" spans="1:62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</row>
    <row r="461" spans="1:62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</row>
    <row r="462" spans="1:62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</row>
    <row r="463" spans="1:62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</row>
    <row r="464" spans="1:62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</row>
    <row r="465" spans="1:62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</row>
    <row r="466" spans="1:62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</row>
    <row r="467" spans="1:62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</row>
    <row r="468" spans="1:62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</row>
    <row r="469" spans="1:62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</row>
    <row r="470" spans="1:62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</row>
    <row r="471" spans="1:62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</row>
    <row r="472" spans="1:62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</row>
    <row r="473" spans="1:62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</row>
    <row r="474" spans="1:62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</row>
    <row r="475" spans="1:62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</row>
    <row r="476" spans="1:62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</row>
    <row r="477" spans="1:62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</row>
    <row r="478" spans="1:62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</row>
    <row r="479" spans="1:62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</row>
    <row r="480" spans="1:62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</row>
    <row r="481" spans="1:62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</row>
    <row r="482" spans="1:62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</row>
    <row r="483" spans="1:62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</row>
    <row r="484" spans="1:62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</row>
    <row r="485" spans="1:62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</row>
    <row r="486" spans="1:62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</row>
    <row r="487" spans="1:62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</row>
    <row r="488" spans="1:62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</row>
    <row r="489" spans="1:62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</row>
    <row r="490" spans="1:62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</row>
    <row r="491" spans="1:62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</row>
    <row r="492" spans="1:62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</row>
    <row r="493" spans="1:62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</row>
    <row r="494" spans="1:62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</row>
    <row r="495" spans="1:62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</row>
    <row r="496" spans="1:62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</row>
    <row r="497" spans="1:62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</row>
    <row r="498" spans="1:62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</row>
    <row r="499" spans="1:62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</row>
    <row r="500" spans="1:62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</row>
    <row r="501" spans="1:62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</row>
    <row r="502" spans="1:62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</row>
    <row r="503" spans="1:62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</row>
    <row r="504" spans="1:62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</row>
    <row r="505" spans="1:62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</row>
    <row r="506" spans="1:62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</row>
    <row r="507" spans="1:62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</row>
    <row r="508" spans="1:62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</row>
    <row r="509" spans="1:62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</row>
    <row r="510" spans="1:62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</row>
    <row r="511" spans="1:62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</row>
    <row r="512" spans="1:62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</row>
    <row r="513" spans="1:62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</row>
    <row r="514" spans="1:62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</row>
    <row r="515" spans="1:62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</row>
    <row r="516" spans="1:62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</row>
    <row r="517" spans="1:62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</row>
    <row r="518" spans="1:62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</row>
    <row r="519" spans="1:62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</row>
    <row r="520" spans="1:62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</row>
    <row r="521" spans="1:62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</row>
    <row r="522" spans="1:62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</row>
    <row r="523" spans="1:62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</row>
    <row r="524" spans="1:62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</row>
    <row r="525" spans="1:62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</row>
    <row r="526" spans="1:62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</row>
    <row r="527" spans="1:62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</row>
    <row r="528" spans="1:62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</row>
    <row r="529" spans="1:62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</row>
    <row r="530" spans="1:62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</row>
    <row r="531" spans="1:62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</row>
    <row r="532" spans="1:62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</row>
    <row r="533" spans="1:62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</row>
    <row r="534" spans="1:62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</row>
    <row r="535" spans="1:62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</row>
    <row r="536" spans="1:62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</row>
    <row r="537" spans="1:62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</row>
    <row r="538" spans="1:62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</row>
    <row r="539" spans="1:62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</row>
    <row r="540" spans="1:62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</row>
    <row r="541" spans="1:62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</row>
    <row r="542" spans="1:62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</row>
    <row r="543" spans="1:62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</row>
    <row r="544" spans="1:62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</row>
    <row r="545" spans="1:62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</row>
    <row r="546" spans="1:62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</row>
    <row r="547" spans="1:62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</row>
    <row r="548" spans="1:62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</row>
    <row r="549" spans="1:62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</row>
    <row r="550" spans="1:62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</row>
    <row r="551" spans="1:62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</row>
    <row r="552" spans="1:62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</row>
    <row r="553" spans="1:62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</row>
    <row r="554" spans="1:62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</row>
    <row r="555" spans="1:62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</row>
    <row r="556" spans="1:62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</row>
    <row r="557" spans="1:62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</row>
    <row r="558" spans="1:62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</row>
    <row r="559" spans="1:62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</row>
    <row r="560" spans="1:62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</row>
    <row r="561" spans="1:62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</row>
    <row r="562" spans="1:62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</row>
    <row r="563" spans="1:62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</row>
    <row r="564" spans="1:62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</row>
    <row r="565" spans="1:62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</row>
    <row r="566" spans="1:62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</row>
    <row r="567" spans="1:62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</row>
    <row r="568" spans="1:62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</row>
    <row r="569" spans="1:62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</row>
    <row r="570" spans="1:62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</row>
    <row r="571" spans="1:62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</row>
    <row r="572" spans="1:62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</row>
    <row r="573" spans="1:62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</row>
    <row r="574" spans="1:62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</row>
    <row r="575" spans="1:62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</row>
    <row r="576" spans="1:62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</row>
    <row r="577" spans="1:62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</row>
    <row r="578" spans="1:62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</row>
    <row r="579" spans="1:62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</row>
    <row r="580" spans="1:62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</row>
    <row r="581" spans="1:62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</row>
    <row r="582" spans="1:62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</row>
    <row r="583" spans="1:62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</row>
    <row r="584" spans="1:62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</row>
    <row r="585" spans="1:62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</row>
    <row r="586" spans="1:62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</row>
    <row r="587" spans="1:62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</row>
    <row r="588" spans="1:62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</row>
    <row r="589" spans="1:62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</row>
    <row r="590" spans="1:62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</row>
    <row r="591" spans="1:62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</row>
    <row r="592" spans="1:62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</row>
    <row r="593" spans="1:62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</row>
    <row r="594" spans="1:62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</row>
    <row r="595" spans="1:62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</row>
    <row r="596" spans="1:62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</row>
    <row r="597" spans="1:62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</row>
    <row r="598" spans="1:62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</row>
    <row r="599" spans="1:62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</row>
    <row r="600" spans="1:62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</row>
    <row r="601" spans="1:62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</row>
    <row r="602" spans="1:62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</row>
    <row r="603" spans="1:62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</row>
    <row r="604" spans="1:62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</row>
    <row r="605" spans="1:62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</row>
    <row r="606" spans="1:62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</row>
    <row r="607" spans="1:62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</row>
    <row r="608" spans="1:62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</row>
    <row r="609" spans="1:62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</row>
    <row r="610" spans="1:62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</row>
    <row r="611" spans="1:62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</row>
    <row r="612" spans="1:62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</row>
    <row r="613" spans="1:62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</row>
    <row r="614" spans="1:62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</row>
    <row r="615" spans="1:62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</row>
    <row r="616" spans="1:62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</row>
    <row r="617" spans="1:62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</row>
    <row r="618" spans="1:62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</row>
    <row r="619" spans="1:62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</row>
    <row r="620" spans="1:62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</row>
    <row r="621" spans="1:62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</row>
    <row r="622" spans="1:62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</row>
    <row r="623" spans="1:62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</row>
    <row r="624" spans="1:62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</row>
    <row r="625" spans="1:62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</row>
    <row r="626" spans="1:62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</row>
    <row r="627" spans="1:62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</row>
    <row r="628" spans="1:62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</row>
    <row r="629" spans="1:62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</row>
    <row r="630" spans="1:62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</row>
    <row r="631" spans="1:62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</row>
    <row r="632" spans="1:62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</row>
    <row r="633" spans="1:62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</row>
    <row r="634" spans="1:62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</row>
    <row r="635" spans="1:62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</row>
    <row r="636" spans="1:62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</row>
    <row r="637" spans="1:62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</row>
    <row r="638" spans="1:62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</row>
    <row r="639" spans="1:62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</row>
    <row r="640" spans="1:62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</row>
    <row r="641" spans="1:62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</row>
    <row r="642" spans="1:62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</row>
    <row r="643" spans="1:62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</row>
    <row r="644" spans="1:62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</row>
    <row r="645" spans="1:62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</row>
    <row r="646" spans="1:62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</row>
    <row r="647" spans="1:62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</row>
    <row r="648" spans="1:62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</row>
    <row r="649" spans="1:62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</row>
    <row r="650" spans="1:62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</row>
    <row r="651" spans="1:62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</row>
    <row r="652" spans="1:62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</row>
    <row r="653" spans="1:62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</row>
    <row r="654" spans="1:62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</row>
    <row r="655" spans="1:62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</row>
    <row r="656" spans="1:62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</row>
    <row r="657" spans="1:62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</row>
    <row r="658" spans="1:62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</row>
    <row r="659" spans="1:62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</row>
    <row r="660" spans="1:62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</row>
    <row r="661" spans="1:62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</row>
    <row r="662" spans="1:62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</row>
    <row r="663" spans="1:62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</row>
    <row r="664" spans="1:62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</row>
    <row r="665" spans="1:62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</row>
    <row r="666" spans="1:62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</row>
    <row r="667" spans="1:62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</row>
    <row r="668" spans="1:62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</row>
    <row r="669" spans="1:62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</row>
    <row r="670" spans="1:62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</row>
    <row r="671" spans="1:62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</row>
    <row r="672" spans="1:62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</row>
    <row r="673" spans="1:62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</row>
    <row r="674" spans="1:62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</row>
    <row r="675" spans="1:62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</row>
    <row r="676" spans="1:62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</row>
    <row r="677" spans="1:62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</row>
    <row r="678" spans="1:62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</row>
    <row r="679" spans="1:62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</row>
    <row r="680" spans="1:62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</row>
    <row r="681" spans="1:62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</row>
    <row r="682" spans="1:62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</row>
    <row r="683" spans="1:62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</row>
    <row r="684" spans="1:62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</row>
    <row r="685" spans="1:62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</row>
    <row r="686" spans="1:62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</row>
    <row r="687" spans="1:62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</row>
    <row r="688" spans="1:62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</row>
    <row r="689" spans="1:62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</row>
    <row r="690" spans="1:62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</row>
    <row r="691" spans="1:62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</row>
    <row r="692" spans="1:62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</row>
    <row r="693" spans="1:62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</row>
    <row r="694" spans="1:62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</row>
    <row r="695" spans="1:62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</row>
    <row r="696" spans="1:62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</row>
    <row r="697" spans="1:62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</row>
    <row r="698" spans="1:62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</row>
    <row r="699" spans="1:62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</row>
    <row r="700" spans="1:62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</row>
    <row r="701" spans="1:62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</row>
    <row r="702" spans="1:62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</row>
    <row r="703" spans="1:62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</row>
    <row r="704" spans="1:62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</row>
    <row r="705" spans="1:62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</row>
    <row r="706" spans="1:62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</row>
    <row r="707" spans="1:62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</row>
    <row r="708" spans="1:62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</row>
    <row r="709" spans="1:62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</row>
    <row r="710" spans="1:62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</row>
    <row r="711" spans="1:62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</row>
    <row r="712" spans="1:62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</row>
    <row r="713" spans="1:62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</row>
    <row r="714" spans="1:62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</row>
    <row r="715" spans="1:62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</row>
    <row r="716" spans="1:62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</row>
    <row r="717" spans="1:62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</row>
    <row r="718" spans="1:62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</row>
    <row r="719" spans="1:62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</row>
    <row r="720" spans="1:62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</row>
    <row r="721" spans="1:62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</row>
    <row r="722" spans="1:62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</row>
    <row r="723" spans="1:62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</row>
    <row r="724" spans="1:62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</row>
    <row r="725" spans="1:62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</row>
    <row r="726" spans="1:62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</row>
    <row r="727" spans="1:62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</row>
    <row r="728" spans="1:62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</row>
    <row r="729" spans="1:62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</row>
    <row r="730" spans="1:62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</row>
    <row r="731" spans="1:62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</row>
    <row r="732" spans="1:62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</row>
    <row r="733" spans="1:62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</row>
    <row r="734" spans="1:62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</row>
    <row r="735" spans="1:62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</row>
    <row r="736" spans="1:62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</row>
    <row r="737" spans="1:62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</row>
    <row r="738" spans="1:62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</row>
    <row r="739" spans="1:62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</row>
    <row r="740" spans="1:62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</row>
    <row r="741" spans="1:62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</row>
    <row r="742" spans="1:62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</row>
    <row r="743" spans="1:62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</row>
    <row r="744" spans="1:62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</row>
    <row r="745" spans="1:62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</row>
    <row r="746" spans="1:62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</row>
    <row r="747" spans="1:62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</row>
    <row r="748" spans="1:62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</row>
    <row r="749" spans="1:62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</row>
    <row r="750" spans="1:62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</row>
    <row r="751" spans="1:62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</row>
    <row r="752" spans="1:62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</row>
    <row r="753" spans="1:62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</row>
    <row r="754" spans="1:62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</row>
    <row r="755" spans="1:62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</row>
    <row r="756" spans="1:62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</row>
    <row r="757" spans="1:62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</row>
    <row r="758" spans="1:62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</row>
    <row r="759" spans="1:62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</row>
    <row r="760" spans="1:62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</row>
    <row r="761" spans="1:62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</row>
    <row r="762" spans="1:62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</row>
    <row r="763" spans="1:62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</row>
    <row r="764" spans="1:62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</row>
    <row r="765" spans="1:62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</row>
    <row r="766" spans="1:62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</row>
    <row r="767" spans="1:62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</row>
    <row r="768" spans="1:62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</row>
    <row r="769" spans="1:62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</row>
    <row r="770" spans="1:62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</row>
    <row r="771" spans="1:62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</row>
    <row r="772" spans="1:62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</row>
    <row r="773" spans="1:62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</row>
    <row r="774" spans="1:62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</row>
    <row r="775" spans="1:62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</row>
    <row r="776" spans="1:62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</row>
    <row r="777" spans="1:62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</row>
    <row r="778" spans="1:62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</row>
    <row r="779" spans="1:62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</row>
    <row r="780" spans="1:62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</row>
    <row r="781" spans="1:62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</row>
    <row r="782" spans="1:62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</row>
    <row r="783" spans="1:62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</row>
    <row r="784" spans="1:62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</row>
    <row r="785" spans="1:62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</row>
    <row r="786" spans="1:62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</row>
    <row r="787" spans="1:62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</row>
    <row r="788" spans="1:62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</row>
    <row r="789" spans="1:62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</row>
    <row r="790" spans="1:62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</row>
    <row r="791" spans="1:62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</row>
    <row r="792" spans="1:62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</row>
    <row r="793" spans="1:62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</row>
    <row r="794" spans="1:62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</row>
    <row r="795" spans="1:62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</row>
    <row r="796" spans="1:62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</row>
    <row r="797" spans="1:62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</row>
    <row r="798" spans="1:62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</row>
    <row r="799" spans="1:62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</row>
    <row r="800" spans="1:62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</row>
    <row r="801" spans="1:62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</row>
    <row r="802" spans="1:62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</row>
    <row r="803" spans="1:62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</row>
    <row r="804" spans="1:62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</row>
    <row r="805" spans="1:62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</row>
    <row r="806" spans="1:62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</row>
    <row r="807" spans="1:62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</row>
    <row r="808" spans="1:62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</row>
    <row r="809" spans="1:62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</row>
    <row r="810" spans="1:62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</row>
    <row r="811" spans="1:62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</row>
    <row r="812" spans="1:62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</row>
    <row r="813" spans="1:62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</row>
    <row r="814" spans="1:62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</row>
    <row r="815" spans="1:62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</row>
    <row r="816" spans="1:62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</row>
    <row r="817" spans="1:62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</row>
    <row r="818" spans="1:62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</row>
    <row r="819" spans="1:62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</row>
    <row r="820" spans="1:62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</row>
    <row r="821" spans="1:62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</row>
    <row r="822" spans="1:62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</row>
    <row r="823" spans="1:62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</row>
    <row r="824" spans="1:62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</row>
    <row r="825" spans="1:62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</row>
    <row r="826" spans="1:62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</row>
    <row r="827" spans="1:62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</row>
    <row r="828" spans="1:62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</row>
    <row r="829" spans="1:62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</row>
    <row r="830" spans="1:62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</row>
    <row r="831" spans="1:62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</row>
    <row r="832" spans="1:62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</row>
    <row r="833" spans="1:62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</row>
    <row r="834" spans="1:62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</row>
    <row r="835" spans="1:62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</row>
    <row r="836" spans="1:62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</row>
    <row r="837" spans="1:62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</row>
    <row r="838" spans="1:62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</row>
    <row r="839" spans="1:62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</row>
    <row r="840" spans="1:62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</row>
    <row r="841" spans="1:62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</row>
    <row r="842" spans="1:62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</row>
    <row r="843" spans="1:62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</row>
    <row r="844" spans="1:62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</row>
    <row r="845" spans="1:62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</row>
    <row r="846" spans="1:62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</row>
    <row r="847" spans="1:62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</row>
    <row r="848" spans="1:62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</row>
    <row r="849" spans="1:62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</row>
    <row r="850" spans="1:62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</row>
    <row r="851" spans="1:62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</row>
    <row r="852" spans="1:62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</row>
    <row r="853" spans="1:62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</row>
    <row r="854" spans="1:62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</row>
    <row r="855" spans="1:62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</row>
    <row r="856" spans="1:62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</row>
    <row r="857" spans="1:62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</row>
    <row r="858" spans="1:62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</row>
    <row r="859" spans="1:62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</row>
    <row r="860" spans="1:62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</row>
    <row r="861" spans="1:62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</row>
    <row r="862" spans="1:62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</row>
    <row r="863" spans="1:62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</row>
    <row r="864" spans="1:62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</row>
    <row r="865" spans="1:62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</row>
    <row r="866" spans="1:62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</row>
    <row r="867" spans="1:62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</row>
    <row r="868" spans="1:62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</row>
    <row r="869" spans="1:62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</row>
    <row r="870" spans="1:62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</row>
    <row r="871" spans="1:62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</row>
    <row r="872" spans="1:62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</row>
    <row r="873" spans="1:62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</row>
    <row r="874" spans="1:62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</row>
    <row r="875" spans="1:62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</row>
    <row r="876" spans="1:62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</row>
    <row r="877" spans="1:62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</row>
    <row r="878" spans="1:62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</row>
    <row r="879" spans="1:62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</row>
    <row r="880" spans="1:62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</row>
    <row r="881" spans="1:62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</row>
    <row r="882" spans="1:62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</row>
    <row r="883" spans="1:62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</row>
    <row r="884" spans="1:62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</row>
    <row r="885" spans="1:62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</row>
    <row r="886" spans="1:62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</row>
    <row r="887" spans="1:62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</row>
    <row r="888" spans="1:62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</row>
    <row r="889" spans="1:62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</row>
    <row r="890" spans="1:62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</row>
    <row r="891" spans="1:62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</row>
    <row r="892" spans="1:62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</row>
    <row r="893" spans="1:62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</row>
    <row r="894" spans="1:62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</row>
    <row r="895" spans="1:62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</row>
    <row r="896" spans="1:62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</row>
    <row r="897" spans="1:62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</row>
    <row r="898" spans="1:62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</row>
    <row r="899" spans="1:62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</row>
    <row r="900" spans="1:62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</row>
    <row r="901" spans="1:62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</row>
    <row r="902" spans="1:62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</row>
    <row r="903" spans="1:62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</row>
    <row r="904" spans="1:62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</row>
    <row r="905" spans="1:62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</row>
    <row r="906" spans="1:62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</row>
    <row r="907" spans="1:62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</row>
    <row r="908" spans="1:62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</row>
    <row r="909" spans="1:62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</row>
    <row r="910" spans="1:62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</row>
    <row r="911" spans="1:62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</row>
    <row r="912" spans="1:62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</row>
    <row r="913" spans="1:62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</row>
    <row r="914" spans="1:62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</row>
    <row r="915" spans="1:62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</row>
    <row r="916" spans="1:62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</row>
    <row r="917" spans="1:62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</row>
    <row r="918" spans="1:62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</row>
    <row r="919" spans="1:62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</row>
    <row r="920" spans="1:62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</row>
    <row r="921" spans="1:62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</row>
    <row r="922" spans="1:62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</row>
    <row r="923" spans="1:62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</row>
    <row r="924" spans="1:62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</row>
    <row r="925" spans="1:62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</row>
    <row r="926" spans="1:62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</row>
    <row r="927" spans="1:62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</row>
    <row r="928" spans="1:62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</row>
    <row r="929" spans="1:62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</row>
    <row r="930" spans="1:62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</row>
    <row r="931" spans="1:62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</row>
    <row r="932" spans="1:62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</row>
    <row r="933" spans="1:62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</row>
    <row r="934" spans="1:62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</row>
    <row r="935" spans="1:62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</row>
    <row r="936" spans="1:62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</row>
    <row r="937" spans="1:62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</row>
    <row r="938" spans="1:62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</row>
    <row r="939" spans="1:62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</row>
    <row r="940" spans="1:62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</row>
    <row r="941" spans="1:62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</row>
    <row r="942" spans="1:62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</row>
    <row r="943" spans="1:62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</row>
    <row r="944" spans="1:62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</row>
    <row r="945" spans="1:62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</row>
    <row r="946" spans="1:62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</row>
    <row r="947" spans="1:62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</row>
    <row r="948" spans="1:62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</row>
    <row r="949" spans="1:62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</row>
    <row r="950" spans="1:62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</row>
    <row r="951" spans="1:62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</row>
    <row r="952" spans="1:62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</row>
    <row r="953" spans="1:62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</row>
    <row r="954" spans="1:62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</row>
    <row r="955" spans="1:62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</row>
    <row r="956" spans="1:62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</row>
    <row r="957" spans="1:62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</row>
    <row r="958" spans="1:62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</row>
    <row r="959" spans="1:62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</row>
    <row r="960" spans="1:62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</row>
    <row r="961" spans="1:62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</row>
    <row r="962" spans="1:62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</row>
    <row r="963" spans="1:62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</row>
    <row r="964" spans="1:62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</row>
    <row r="965" spans="1:62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</row>
    <row r="966" spans="1:62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</row>
    <row r="967" spans="1:62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</row>
    <row r="968" spans="1:62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</row>
    <row r="969" spans="1:62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</row>
    <row r="970" spans="1:62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</row>
    <row r="971" spans="1:62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</row>
    <row r="972" spans="1:62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</row>
    <row r="973" spans="1:62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</row>
    <row r="974" spans="1:62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</row>
    <row r="975" spans="1:62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</row>
    <row r="976" spans="1:62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</row>
    <row r="977" spans="1:62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</row>
    <row r="978" spans="1:62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</row>
    <row r="979" spans="1:62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</row>
    <row r="980" spans="1:62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</row>
    <row r="981" spans="1:62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</row>
    <row r="982" spans="1:62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</row>
    <row r="983" spans="1:62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</row>
    <row r="984" spans="1:62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</row>
    <row r="985" spans="1:62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</row>
    <row r="986" spans="1:62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</row>
    <row r="987" spans="1:62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</row>
    <row r="988" spans="1:62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</row>
    <row r="989" spans="1:62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</row>
    <row r="990" spans="1:62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</row>
    <row r="991" spans="1:62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</row>
    <row r="992" spans="1:62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</row>
    <row r="993" spans="1:62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</row>
    <row r="994" spans="1:62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</row>
    <row r="995" spans="1:62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</row>
    <row r="996" spans="1:62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</row>
    <row r="997" spans="1:62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</row>
    <row r="998" spans="1:62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</row>
    <row r="999" spans="1:62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</row>
    <row r="1000" spans="1:62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Masters Men</vt:lpstr>
      <vt:lpstr>U13 Girls &amp; Boys</vt:lpstr>
      <vt:lpstr>Women (including Masters women)</vt:lpstr>
      <vt:lpstr>U15 &amp; U17 Girls &amp; Boys</vt:lpstr>
      <vt:lpstr>Malcolm Cup</vt:lpstr>
      <vt:lpstr>Results 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Simon</cp:lastModifiedBy>
  <dcterms:modified xsi:type="dcterms:W3CDTF">2021-11-30T13:23:11Z</dcterms:modified>
</cp:coreProperties>
</file>